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Password="EAE8" lockStructure="1"/>
  <bookViews>
    <workbookView windowWidth="15990" windowHeight="11655" tabRatio="723" firstSheet="17" activeTab="19"/>
  </bookViews>
  <sheets>
    <sheet name="uxbWorks" sheetId="4" state="veryHidden" r:id="rId1"/>
    <sheet name="tblIndicators" sheetId="186" state="veryHidden" r:id="rId2"/>
    <sheet name="tblIndiSets" sheetId="187" state="veryHidden" r:id="rId3"/>
    <sheet name="iWeights" sheetId="195" state="veryHidden" r:id="rId4"/>
    <sheet name="tblCities" sheetId="81" state="veryHidden" r:id="rId5"/>
    <sheet name="tblCategories" sheetId="205" state="veryHidden" r:id="rId6"/>
    <sheet name="iRankIndi" sheetId="127" state="veryHidden" r:id="rId7"/>
    <sheet name="iScoresRounded" sheetId="196" state="veryHidden" r:id="rId8"/>
    <sheet name="iSummary" sheetId="189" state="veryHidden" r:id="rId9"/>
    <sheet name="iCityP" sheetId="191" state="veryHidden" r:id="rId10"/>
    <sheet name="iSource" sheetId="200" state="veryHidden" r:id="rId11"/>
    <sheet name="iRank" sheetId="197" state="veryHidden" r:id="rId12"/>
    <sheet name="Enable_Macros" sheetId="193" state="veryHidden" r:id="rId13"/>
    <sheet name="iCompare" sheetId="203" state="veryHidden" r:id="rId14"/>
    <sheet name="iCityComp" sheetId="204" state="veryHidden" r:id="rId15"/>
    <sheet name="iScatter" sheetId="190" state="veryHidden" r:id="rId16"/>
    <sheet name="iCityP_Charts" sheetId="206" state="veryHidden" r:id="rId17"/>
    <sheet name="Home" sheetId="194" r:id="rId18"/>
    <sheet name="Summary" sheetId="172" state="hidden" r:id="rId19"/>
    <sheet name="Indicator_Ranks" sheetId="180" r:id="rId20"/>
    <sheet name="City_Profile" sheetId="181" state="hidden" r:id="rId21"/>
    <sheet name="City_Comparison" sheetId="202" state="hidden" r:id="rId22"/>
    <sheet name="Scatterplot" sheetId="182" state="hidden" r:id="rId23"/>
    <sheet name="Scores" sheetId="184" state="hidden" r:id="rId24"/>
    <sheet name="Data" sheetId="183" state="hidden" r:id="rId25"/>
    <sheet name="Weights" sheetId="185" state="hidden" r:id="rId26"/>
  </sheets>
  <externalReferences>
    <externalReference r:id="rId27"/>
  </externalReferences>
  <definedNames>
    <definedName name="aData">Data!$G$7:$BD$63</definedName>
    <definedName name="anscount" hidden="1">1</definedName>
    <definedName name="aRankedScores">iRank!$N$9:$BK$65</definedName>
    <definedName name="aRoundedScores">iScoresRounded!$N$9:$BK$65</definedName>
    <definedName name="limcount" hidden="1">1</definedName>
    <definedName name="lu_comp_regions">OFFSET(lu_regions,0,1)</definedName>
    <definedName name="lu_indicode">tblIndicators!$D$2:$D$58</definedName>
    <definedName name="luCountry">tblCities!$C$3:$C$52</definedName>
    <definedName name="luCountryHighlight">tblCities!$C$2:$C$52</definedName>
    <definedName name="luCountryStatus">tblCities!$D$3:$D$52</definedName>
    <definedName name="_xlnm.Print_Area" localSheetId="20">City_Profile!$C$4:$P$41</definedName>
    <definedName name="_xlnm.Print_Area" localSheetId="24">Data!$E$6:$BD$63</definedName>
    <definedName name="_xlnm.Print_Area" localSheetId="19">Indicator_Ranks!$B$4:$J$58</definedName>
    <definedName name="_xlnm.Print_Area" localSheetId="22">Scatterplot!$A$5:$R$62</definedName>
    <definedName name="_xlnm.Print_Area" localSheetId="23">Scores!$L$5:$BK$65</definedName>
    <definedName name="_xlnm.Print_Area" localSheetId="18">Summary!$C$5:$Y$57</definedName>
    <definedName name="_xlnm.Print_Area" localSheetId="25">Weights!$E$5:$G$74</definedName>
    <definedName name="sencount" hidden="1">1</definedName>
    <definedName name="tblIndiRankData">Indicator_Ranks!$E$9:$E$32</definedName>
    <definedName name="tblScatterX">Scatterplot!$Q$9:$Q$32</definedName>
    <definedName name="tblScatterY">Scatterplot!$R$9:$R$32</definedName>
    <definedName name="WeightsValues">OFFSET(WeightsCode,0,4)</definedName>
  </definedNames>
  <calcPr calcId="144525"/>
</workbook>
</file>

<file path=xl/sharedStrings.xml><?xml version="1.0" encoding="utf-8"?>
<sst xmlns="http://schemas.openxmlformats.org/spreadsheetml/2006/main" count="3443" uniqueCount="1719">
  <si>
    <t>MODE</t>
  </si>
  <si>
    <t>NUMBER_OF_COUNTRIES</t>
  </si>
  <si>
    <t>WEIGHT_PROFILE_ID</t>
  </si>
  <si>
    <t>Pre-Saved Weight for OutPut</t>
  </si>
  <si>
    <t>Weight Value is</t>
  </si>
  <si>
    <t>OUTPUT_INPUT_SCORE</t>
  </si>
  <si>
    <t>USER CONTROL VALUES</t>
  </si>
  <si>
    <t>cnt_Country_1</t>
  </si>
  <si>
    <t>cnt_Indicator</t>
  </si>
  <si>
    <t>cnt_Country_Highlight</t>
  </si>
  <si>
    <t>cnt_scatter_x</t>
  </si>
  <si>
    <t>cnt_scatter_y</t>
  </si>
  <si>
    <t>cnt_scatter_labels</t>
  </si>
  <si>
    <t>cnt_scatter_outliers</t>
  </si>
  <si>
    <t>cnt_group_by</t>
  </si>
  <si>
    <t>cnt_highlight_group</t>
  </si>
  <si>
    <t>cnt_Country_Highlight_2</t>
  </si>
  <si>
    <t>cnt_filter_group</t>
  </si>
  <si>
    <t>ACTVE INDICTOR</t>
  </si>
  <si>
    <t>Series_ID</t>
  </si>
  <si>
    <t>Series_NumberFormat</t>
  </si>
  <si>
    <t>Series_HasData</t>
  </si>
  <si>
    <t>Series_IsBG</t>
  </si>
  <si>
    <t>Series_IsEmpty</t>
  </si>
  <si>
    <t>SCATTER</t>
  </si>
  <si>
    <t>scatter_x_indi_id</t>
  </si>
  <si>
    <t>scatter_y_indi_id</t>
  </si>
  <si>
    <t>.</t>
  </si>
  <si>
    <t>scatter_x_numberformat</t>
  </si>
  <si>
    <t>scatter_y_numberformat</t>
  </si>
  <si>
    <t>CITY COMPARE</t>
  </si>
  <si>
    <t>DATA_CATAGORY_ID</t>
  </si>
  <si>
    <t>cnt_City_2</t>
  </si>
  <si>
    <t>COMP_CAT_IND</t>
  </si>
  <si>
    <t>IndiID</t>
  </si>
  <si>
    <t>IndiCode</t>
  </si>
  <si>
    <t>IndiParent</t>
  </si>
  <si>
    <t>Depth</t>
  </si>
  <si>
    <t>IsRef</t>
  </si>
  <si>
    <t>IndiRef</t>
  </si>
  <si>
    <t>Indicator/subindicator</t>
  </si>
  <si>
    <t>Categories/indicators/sub-indicators</t>
  </si>
  <si>
    <t>Description/why is it included?</t>
  </si>
  <si>
    <t>Definition/units</t>
  </si>
  <si>
    <t>Source(s)</t>
  </si>
  <si>
    <t>Score_System, 1 = weighted sum of scores, 2 = norm based on actual max/min, 3 = norm based on fixed max/min</t>
  </si>
  <si>
    <t>Score_Param1 (0=High Is Good)</t>
  </si>
  <si>
    <t>Score_Param2</t>
  </si>
  <si>
    <t>Score_Param3</t>
  </si>
  <si>
    <t>Min</t>
  </si>
  <si>
    <t>Max</t>
  </si>
  <si>
    <t>Default_Weight</t>
  </si>
  <si>
    <t>DP</t>
  </si>
  <si>
    <t>Spare#1</t>
  </si>
  <si>
    <t>Spare#2</t>
  </si>
  <si>
    <t>Spare#3</t>
  </si>
  <si>
    <t>Notes</t>
  </si>
  <si>
    <t>INDENT_DESC</t>
  </si>
  <si>
    <t>NUMFORMAT</t>
  </si>
  <si>
    <t>Active_Weight_Nom</t>
  </si>
  <si>
    <t>Active_Weight</t>
  </si>
  <si>
    <t>TOTAL</t>
  </si>
  <si>
    <t>Weighted sum of the category scores;
1) Knowledge-skill base
2) Creative destruction
3) Appropriate institutions
4) Innovation</t>
  </si>
  <si>
    <t>Ratio of the weighted sum of the output category scores (1 to 3 below) over the input category score (Innovation);
1) Knowledge-skill base
2) Creative destruction
3) Appropriate institutions
4) Innovation</t>
  </si>
  <si>
    <t>DIGSEC</t>
  </si>
  <si>
    <t>Category</t>
  </si>
  <si>
    <t>Category index score, weighted sum of the 2 sub-category scores:
1) Digital Security (Inputs)
2) Digital Security (Outputs)</t>
  </si>
  <si>
    <t>Weighted sum of underlying sub-category scores;</t>
  </si>
  <si>
    <t>DIGSEC_IP</t>
  </si>
  <si>
    <t>1.1</t>
  </si>
  <si>
    <t>Sub-Category</t>
  </si>
  <si>
    <t>Digital Security (Inputs)</t>
  </si>
  <si>
    <t>Sub-category index score, weighted sum of the 6 indicator scores.
1) Privacy policy 
2) Citizen awareness of digital threats
3) City reliance on digital infrastructure
4) Public-private partnerships
5) Level of technology employed
6) Dedicated cyber security teams</t>
  </si>
  <si>
    <t>Weighted sum of underlying indicator scores;</t>
  </si>
  <si>
    <t>TBA</t>
  </si>
  <si>
    <t>DIGSEC_IP_01</t>
  </si>
  <si>
    <t>1.1.1</t>
  </si>
  <si>
    <t>Indicator</t>
  </si>
  <si>
    <t>Privacy policy</t>
  </si>
  <si>
    <t>1=most restricted, 5=least restricted</t>
  </si>
  <si>
    <t>Scale 0-5</t>
  </si>
  <si>
    <t>DIGSEC_IP_02</t>
  </si>
  <si>
    <t>1.1.2</t>
  </si>
  <si>
    <t>Citizen awareness of digital threats</t>
  </si>
  <si>
    <t>Scale 0-2 (0- No/Minimal initiatives/Initiatives not evident, 1- Country level initiatives for digital threat awareness, 2- Has both country and state/province/city level initiatives for digital threat awareness)</t>
  </si>
  <si>
    <t>Scale 0-3</t>
  </si>
  <si>
    <t>DIGSEC_IP_03</t>
  </si>
  <si>
    <t>1.1.3</t>
  </si>
  <si>
    <t>City reliance on digital infrastructure</t>
  </si>
  <si>
    <t>Scale 0 -2 (0-No/Minimal digital infrastructure, 1- Country level information on digital infrastructure, 2- City level information on digital infrastructure</t>
  </si>
  <si>
    <t>Scale 0-2</t>
  </si>
  <si>
    <t>DIGSEC_IP_04</t>
  </si>
  <si>
    <t>1.1.4</t>
  </si>
  <si>
    <t>Public-private partnerships</t>
  </si>
  <si>
    <t>0-No such partnerships, 1- Only has country level partnerships, 2- Has both country and state/province/city level partnerships</t>
  </si>
  <si>
    <t>DIGSEC_IP_05</t>
  </si>
  <si>
    <t>1.1.5</t>
  </si>
  <si>
    <t>Level of technology employed</t>
  </si>
  <si>
    <t xml:space="preserve">Scored 0-50-75-100 </t>
  </si>
  <si>
    <t>Scale 0-100</t>
  </si>
  <si>
    <t>DIGSEC_IP_06</t>
  </si>
  <si>
    <t>1.1.6</t>
  </si>
  <si>
    <t>Dedicated cyber security teams</t>
  </si>
  <si>
    <t>0-No dedicated teams, 1- Country level dedicated teams to combat cybercrime, 2- Has both country and state/province/city level dedicated teams to combat cybercrime</t>
  </si>
  <si>
    <t>DIGSEC_OP</t>
  </si>
  <si>
    <t>1.2</t>
  </si>
  <si>
    <t>Sub Category</t>
  </si>
  <si>
    <t>Digital Security (Outputs)</t>
  </si>
  <si>
    <t>Sub-category index score, weighted sum of the 3 indicator scores.
1) Frequency of identity theft (to be discussed again)
2) Money lost due to cybercrime (to be discussed again)
3) Percent with internet access</t>
  </si>
  <si>
    <t>DIGSEC_OP_01</t>
  </si>
  <si>
    <t>1.2.1</t>
  </si>
  <si>
    <t>Frequency of identity theft</t>
  </si>
  <si>
    <t>Population reporting</t>
  </si>
  <si>
    <t>%</t>
  </si>
  <si>
    <t>DIGSEC_OP_02</t>
  </si>
  <si>
    <t>1.2.2</t>
  </si>
  <si>
    <t>Precentage of computers infected</t>
  </si>
  <si>
    <t>Scale 1-5 (1 best, 5 worst)</t>
  </si>
  <si>
    <t>DIGSEC_OP_03</t>
  </si>
  <si>
    <t>1.2.3</t>
  </si>
  <si>
    <t>Percent with internet access</t>
  </si>
  <si>
    <t xml:space="preserve">% of city population </t>
  </si>
  <si>
    <t>HELSEC</t>
  </si>
  <si>
    <t>2</t>
  </si>
  <si>
    <t>Category index score, weighted sum of the 2 sub-category scores:
1) Health Security (Inputs)
2) Health Security (Outputs)</t>
  </si>
  <si>
    <t>Weighted sum of underlying sub-category scores.</t>
  </si>
  <si>
    <t>HELSEC_IP</t>
  </si>
  <si>
    <t>2.1</t>
  </si>
  <si>
    <t>Health Security (Inputs)</t>
  </si>
  <si>
    <t>Sub-category index score, weighted sum of the 6 indicator scores.
1) Environmental policies
2) Access to healthcare
3) No. of beds per 1000
4) Number of doctors per 1000
5) Access to safe and quality food
6) Quality of health services</t>
  </si>
  <si>
    <t>HELSEC_IP_01</t>
  </si>
  <si>
    <t>2.1.1</t>
  </si>
  <si>
    <t>Environmental policies</t>
  </si>
  <si>
    <t>EIU/Siemens Green Cities Index</t>
  </si>
  <si>
    <t>HELSEC_IP_02</t>
  </si>
  <si>
    <t>2.1.2</t>
  </si>
  <si>
    <t>Access to healthcare</t>
  </si>
  <si>
    <t>EIU City Liveability Index</t>
  </si>
  <si>
    <t>HELSEC_IP_03</t>
  </si>
  <si>
    <t>2.1.3</t>
  </si>
  <si>
    <t>No. of beds per 1000</t>
  </si>
  <si>
    <t>(Self-explanatory)</t>
  </si>
  <si>
    <t>#/1000</t>
  </si>
  <si>
    <t>HELSEC_IP_04</t>
  </si>
  <si>
    <t>2.1.4</t>
  </si>
  <si>
    <t>Number of doctors per 1000</t>
  </si>
  <si>
    <t>HELSEC_IP_05</t>
  </si>
  <si>
    <t>2.1.5</t>
  </si>
  <si>
    <t>Access to safe and quality food</t>
  </si>
  <si>
    <t>Scale 1-100</t>
  </si>
  <si>
    <t>HELSEC_IP_06</t>
  </si>
  <si>
    <t>2.1.6</t>
  </si>
  <si>
    <t>Quality of health services</t>
  </si>
  <si>
    <t>Scale 1-5</t>
  </si>
  <si>
    <t>HELSEC_OP</t>
  </si>
  <si>
    <t>2.2</t>
  </si>
  <si>
    <t>Health Security (Outputs)</t>
  </si>
  <si>
    <t>Sub-category index score, weighted sum of the 5 indicator scores.
1) Air quality
2) Water quality
3) Life expectancy
4) Infant mortality (deaths per 1,000 live births)
5) Cancer mortality rate ( Cancer deaths per 100,000)</t>
  </si>
  <si>
    <t>HELSEC_OP_01</t>
  </si>
  <si>
    <t>2.2.1</t>
  </si>
  <si>
    <t>Air quality</t>
  </si>
  <si>
    <t>PM 2.5 levels</t>
  </si>
  <si>
    <t>HELSEC_OP_02</t>
  </si>
  <si>
    <t>2.2.2</t>
  </si>
  <si>
    <t>Water quality</t>
  </si>
  <si>
    <t>HELSEC_OP_03</t>
  </si>
  <si>
    <t>2.2.3</t>
  </si>
  <si>
    <t>Life expectancy</t>
  </si>
  <si>
    <t>Years</t>
  </si>
  <si>
    <t>Years (Higher yrs, better)</t>
  </si>
  <si>
    <t>HELSEC_OP_04</t>
  </si>
  <si>
    <t>2.2.4</t>
  </si>
  <si>
    <t>Infant mortality (deaths per 1,000 live births)</t>
  </si>
  <si>
    <t>Deaths per 1,000 births</t>
  </si>
  <si>
    <t>HELSEC_OP_05</t>
  </si>
  <si>
    <t>2.2.5</t>
  </si>
  <si>
    <t>Cancer mortality rate ( Cancer deaths per 100,000)</t>
  </si>
  <si>
    <t>#/100,000</t>
  </si>
  <si>
    <t>Cancer deaths per 100,000</t>
  </si>
  <si>
    <t>INFSAF</t>
  </si>
  <si>
    <t>3</t>
  </si>
  <si>
    <t>Category index score, weighted sum of the two sub-category scores:
1) Infrastructure safety (Inputs)
2) Infrastructure safety (outputs)</t>
  </si>
  <si>
    <t>INFSAF_IP</t>
  </si>
  <si>
    <t>3.1</t>
  </si>
  <si>
    <t>Infrastructure Safety (Inputs)</t>
  </si>
  <si>
    <t>Weighted sum of the following 6 indicator scores;
1) Enforcement of transport safety
2) Pedestrian friendliness
3) Quality of road infrastructure
4) Quality of electricity infrastructure
5) Disaster Management/Business Continuity Plan</t>
  </si>
  <si>
    <t>INFSAF_IP_01</t>
  </si>
  <si>
    <t>3.1.1</t>
  </si>
  <si>
    <t>Enforcement of transport safety</t>
  </si>
  <si>
    <t>Scale 0-10</t>
  </si>
  <si>
    <t>INFSAF_IP_02</t>
  </si>
  <si>
    <t>3.1.2</t>
  </si>
  <si>
    <t>Pedestrian friendliness</t>
  </si>
  <si>
    <t>INFSAF_IP_03</t>
  </si>
  <si>
    <t>3.1.3</t>
  </si>
  <si>
    <t>Quality of road infrastructure</t>
  </si>
  <si>
    <t>INFSAF_IP_04</t>
  </si>
  <si>
    <t>3.1.4</t>
  </si>
  <si>
    <t>Quality of electricity infrastructure</t>
  </si>
  <si>
    <t>INFSAF_IP_05</t>
  </si>
  <si>
    <t>3.1.5</t>
  </si>
  <si>
    <t>Disaster Management/Business Continuity Plan</t>
  </si>
  <si>
    <t>INFSAF_OP</t>
  </si>
  <si>
    <t>3.2</t>
  </si>
  <si>
    <t>Infrastructure Safety (Outputs)</t>
  </si>
  <si>
    <t>Sub-category index score, weighted sum of the 5 indicator scores.
1) Death from natural disasters
2) Frequency of vehicular accidents
3) Frequency of pedestrian deaths
4) Percent living in urban slums</t>
  </si>
  <si>
    <t>INFSAF_OP_01</t>
  </si>
  <si>
    <t>3.2.1</t>
  </si>
  <si>
    <t>Death from natural disasters</t>
  </si>
  <si>
    <t># per year per million inhabitants</t>
  </si>
  <si>
    <t>#/year/m</t>
  </si>
  <si>
    <t>INFSAF_OP_02</t>
  </si>
  <si>
    <t>3.2.2</t>
  </si>
  <si>
    <t>Frequency of vehicular accidents</t>
  </si>
  <si>
    <t># per year per 100,000 inhabitants</t>
  </si>
  <si>
    <t>INFSAF_OP_03</t>
  </si>
  <si>
    <t>3.2.3</t>
  </si>
  <si>
    <t>Frequency of pedestrian deaths</t>
  </si>
  <si>
    <t>INFSAF_OP_04</t>
  </si>
  <si>
    <t>3.2.4</t>
  </si>
  <si>
    <t>Percent living in urban slums</t>
  </si>
  <si>
    <t>PERSAF</t>
  </si>
  <si>
    <t>4</t>
  </si>
  <si>
    <t>Category index score, weighted sum of the two sub-category scores:
1) Personal safety (Inputs)
2) Personal safety (outputs)</t>
  </si>
  <si>
    <t>PERSAF_IP</t>
  </si>
  <si>
    <t>4.1</t>
  </si>
  <si>
    <t>Personal Safety (Inputs)</t>
  </si>
  <si>
    <t>Sub-category index score, weighted sum of the 6 indicator scores.
1) Level of police engagement
2) Community-based patrolling
3) Availability of street-level crime data
4) Use of data-driven techniques for crime
5) Private security measures
6) Gun regulation and enforcement
7) Political Stability Risk</t>
  </si>
  <si>
    <t>PERSAF_IP_01</t>
  </si>
  <si>
    <t>4.1.1</t>
  </si>
  <si>
    <t>Level of police engagement</t>
  </si>
  <si>
    <t>0-No/Minimal/Partial policies/No centralised policies/Policies not evident, 1- Only Has country level policies, 2- Has both country and state/province/city level policies</t>
  </si>
  <si>
    <t>Scale 0 - 1</t>
  </si>
  <si>
    <t>PERSAF_IP_02</t>
  </si>
  <si>
    <t>4.1.2</t>
  </si>
  <si>
    <t>Community-based patrolling</t>
  </si>
  <si>
    <t>Yes/no</t>
  </si>
  <si>
    <t>Score 0 - 1</t>
  </si>
  <si>
    <t>PERSAF_IP_03</t>
  </si>
  <si>
    <t>4.1.3</t>
  </si>
  <si>
    <t>Availability of street-level crime data</t>
  </si>
  <si>
    <t>PERSAF_IP_04</t>
  </si>
  <si>
    <t>4.1.4</t>
  </si>
  <si>
    <t>Use of data-driven techniques for crime</t>
  </si>
  <si>
    <t>PERSAF_IP_05</t>
  </si>
  <si>
    <t>4.1.5</t>
  </si>
  <si>
    <t>Private security measures</t>
  </si>
  <si>
    <t>PERSAF_IP_06</t>
  </si>
  <si>
    <t>4.1.6</t>
  </si>
  <si>
    <t>Gun regulation and enforcement</t>
  </si>
  <si>
    <t>Scale 0 - 10</t>
  </si>
  <si>
    <t>PERSAF_IP_07</t>
  </si>
  <si>
    <t>4.1.7</t>
  </si>
  <si>
    <t>Political Stability Risk</t>
  </si>
  <si>
    <t>Scale 0 - 100</t>
  </si>
  <si>
    <t>PERSAF_OP</t>
  </si>
  <si>
    <t>4.2</t>
  </si>
  <si>
    <t>Personal Safety (Outputs)</t>
  </si>
  <si>
    <t>Sub-category index score, weighted sum of the 9 indicator scores.
1) Prevalence of petty crime
2) Prevalence of violence crime
3) Criminal gang activity
4) Level of corruption in police force
5) Rate of drug use
6) Frequency of terrorist attacks
7) Gender safety
8) Perceptions of safety</t>
  </si>
  <si>
    <t>PERSAF_OP_01</t>
  </si>
  <si>
    <t>4.2.1</t>
  </si>
  <si>
    <t>Prevalence of petty crime</t>
  </si>
  <si>
    <t>EIU Rating</t>
  </si>
  <si>
    <t>PERSAF_OP_02</t>
  </si>
  <si>
    <t>4.2.2</t>
  </si>
  <si>
    <t>Prevalence of violence crime</t>
  </si>
  <si>
    <t>PERSAF_OP_03</t>
  </si>
  <si>
    <t>4.2.3</t>
  </si>
  <si>
    <t>Criminal gang activity</t>
  </si>
  <si>
    <t>Value of Black Market</t>
  </si>
  <si>
    <t>US $ billions</t>
  </si>
  <si>
    <t>PERSAF_OP_04</t>
  </si>
  <si>
    <t>4.2.4</t>
  </si>
  <si>
    <t>Level of corruption in police force</t>
  </si>
  <si>
    <t>PERSAF_OP_05</t>
  </si>
  <si>
    <t>4.2.5</t>
  </si>
  <si>
    <t>Rate of drug use</t>
  </si>
  <si>
    <t>PERSAF_OP_07</t>
  </si>
  <si>
    <t>4.2.6</t>
  </si>
  <si>
    <t>Frequency of terrorist attacks</t>
  </si>
  <si>
    <t># per year</t>
  </si>
  <si>
    <t>#/year</t>
  </si>
  <si>
    <t>PERSAF_OP_08</t>
  </si>
  <si>
    <t>4.2.7</t>
  </si>
  <si>
    <t>Gender safety</t>
  </si>
  <si>
    <t>Lower bound = positive, upper bound = negative</t>
  </si>
  <si>
    <t>Index</t>
  </si>
  <si>
    <t>PERSAF_OP_09</t>
  </si>
  <si>
    <t>4.2.8</t>
  </si>
  <si>
    <t>Perceptions of safety</t>
  </si>
  <si>
    <t>scale 1-100, 100=best</t>
  </si>
  <si>
    <t>ID</t>
  </si>
  <si>
    <t>DESC</t>
  </si>
  <si>
    <t>DEPTH</t>
  </si>
  <si>
    <t>CATEGORIES</t>
  </si>
  <si>
    <t>SUB CATEGORIES (FOR WEIGHTS)</t>
  </si>
  <si>
    <t>INDICATORS (FOR WEIGHTS)</t>
  </si>
  <si>
    <t>SCATTER_X</t>
  </si>
  <si>
    <t>SCATTER_Y</t>
  </si>
  <si>
    <t>COUNTRY COMPARE INDICATOR SELECTOR</t>
  </si>
  <si>
    <t>TABLE SET FOR INDICATOR RANK</t>
  </si>
  <si>
    <t>Weight Profile Names</t>
  </si>
  <si>
    <t>EIU default</t>
  </si>
  <si>
    <t>Code</t>
  </si>
  <si>
    <t>Row</t>
  </si>
  <si>
    <t>Level</t>
  </si>
  <si>
    <t>Indicator/Category Name</t>
  </si>
  <si>
    <t>Spare#4</t>
  </si>
  <si>
    <t>Spare#5</t>
  </si>
  <si>
    <t>Spare#6</t>
  </si>
  <si>
    <t>Spare#7</t>
  </si>
  <si>
    <t>Spare#8</t>
  </si>
  <si>
    <t>Spare#9</t>
  </si>
  <si>
    <t>CITY_ID</t>
  </si>
  <si>
    <t>CITY_ISO_A2</t>
  </si>
  <si>
    <t>CITY</t>
  </si>
  <si>
    <t>STATUS</t>
  </si>
  <si>
    <t>&lt;none&gt;</t>
  </si>
  <si>
    <t>Low income</t>
  </si>
  <si>
    <t>Lower middle income</t>
  </si>
  <si>
    <t>upper middle income</t>
  </si>
  <si>
    <t>high income</t>
  </si>
  <si>
    <t>HL1</t>
  </si>
  <si>
    <t>Stockholm</t>
  </si>
  <si>
    <t>Johannesburg</t>
  </si>
  <si>
    <t>HL2</t>
  </si>
  <si>
    <t>Buenos Aires</t>
  </si>
  <si>
    <t>Upper middle income</t>
  </si>
  <si>
    <t>Sao Paulo</t>
  </si>
  <si>
    <t>High income</t>
  </si>
  <si>
    <t>Rio de Janeiro</t>
  </si>
  <si>
    <t>Los Angeles</t>
  </si>
  <si>
    <t>San Francisco</t>
  </si>
  <si>
    <t>Toronto</t>
  </si>
  <si>
    <t>Montreal</t>
  </si>
  <si>
    <t>Chicago</t>
  </si>
  <si>
    <t>Mexico City</t>
  </si>
  <si>
    <t>Lima</t>
  </si>
  <si>
    <t>Santiago</t>
  </si>
  <si>
    <t>New York</t>
  </si>
  <si>
    <t>Washington DC</t>
  </si>
  <si>
    <t>Sydney</t>
  </si>
  <si>
    <t>Melbourne</t>
  </si>
  <si>
    <t>Hong Kong</t>
  </si>
  <si>
    <t xml:space="preserve">Beijing </t>
  </si>
  <si>
    <t>Shanghai</t>
  </si>
  <si>
    <t>Shenzhen</t>
  </si>
  <si>
    <t>Guangzhou</t>
  </si>
  <si>
    <t>Tianjin</t>
  </si>
  <si>
    <t>Mumbai</t>
  </si>
  <si>
    <t>Delhi</t>
  </si>
  <si>
    <t>Jakarta</t>
  </si>
  <si>
    <t>Tehran</t>
  </si>
  <si>
    <t>Tokyo</t>
  </si>
  <si>
    <t>Osaka</t>
  </si>
  <si>
    <t>Singapore</t>
  </si>
  <si>
    <t>Seoul</t>
  </si>
  <si>
    <t>Taipei</t>
  </si>
  <si>
    <t>Bangkok</t>
  </si>
  <si>
    <t>Ho Chi Minh</t>
  </si>
  <si>
    <t>Kuwait City</t>
  </si>
  <si>
    <t>Doha</t>
  </si>
  <si>
    <t>Riyadh</t>
  </si>
  <si>
    <t>Abu Dhabi</t>
  </si>
  <si>
    <t>Brussels</t>
  </si>
  <si>
    <t>Paris</t>
  </si>
  <si>
    <t>Frankfurt</t>
  </si>
  <si>
    <t>Rome</t>
  </si>
  <si>
    <t>Milan</t>
  </si>
  <si>
    <t>Amsterdam</t>
  </si>
  <si>
    <t>Moscow</t>
  </si>
  <si>
    <t>Madrid</t>
  </si>
  <si>
    <t>Barcelona</t>
  </si>
  <si>
    <t>Zurich</t>
  </si>
  <si>
    <t>Istanbul</t>
  </si>
  <si>
    <t>London</t>
  </si>
  <si>
    <t>Score</t>
  </si>
  <si>
    <t>Grouped by score</t>
  </si>
  <si>
    <t>Quartile</t>
  </si>
  <si>
    <t>Grouped by quartile</t>
  </si>
  <si>
    <t>CityID</t>
  </si>
  <si>
    <t>ISO</t>
  </si>
  <si>
    <t>City</t>
  </si>
  <si>
    <t>DisplayName</t>
  </si>
  <si>
    <t>Display_Status</t>
  </si>
  <si>
    <t>All</t>
  </si>
  <si>
    <t>CITY_HIGHLIGHT_ID</t>
  </si>
  <si>
    <t>GROUP_HIGHLIGHT_ID</t>
  </si>
  <si>
    <t>INDI_ID</t>
  </si>
  <si>
    <t>MIN</t>
  </si>
  <si>
    <t>Table header</t>
  </si>
  <si>
    <t>TEXT_FORMAT</t>
  </si>
  <si>
    <t>CITY HIGHLIGHT</t>
  </si>
  <si>
    <t>BAR CHART</t>
  </si>
  <si>
    <t>GROUPS</t>
  </si>
  <si>
    <t>Top Quartile</t>
  </si>
  <si>
    <t>…</t>
  </si>
  <si>
    <t xml:space="preserve"> </t>
  </si>
  <si>
    <t>Bottom Quartile</t>
  </si>
  <si>
    <t>No Data</t>
  </si>
  <si>
    <t>Data</t>
  </si>
  <si>
    <t>Ranker</t>
  </si>
  <si>
    <t>Even Break Group</t>
  </si>
  <si>
    <t>Rank</t>
  </si>
  <si>
    <t>LU</t>
  </si>
  <si>
    <t>Status</t>
  </si>
  <si>
    <t>Main Set</t>
  </si>
  <si>
    <t>Highlighted</t>
  </si>
  <si>
    <t>Source</t>
  </si>
  <si>
    <t>Rounding DP</t>
  </si>
  <si>
    <t>All indicators scored 0-100 where 100=best</t>
  </si>
  <si>
    <t>Mult</t>
  </si>
  <si>
    <t>Weight</t>
  </si>
  <si>
    <t>Lu</t>
  </si>
  <si>
    <t>NUM_COUNTRIES</t>
  </si>
  <si>
    <t>GROUP_BY</t>
  </si>
  <si>
    <t>Header</t>
  </si>
  <si>
    <t>50 city average</t>
  </si>
  <si>
    <t>Score / 100</t>
  </si>
  <si>
    <t>Average Score</t>
  </si>
  <si>
    <t>Use if depth=2</t>
  </si>
  <si>
    <t>QuartileGroup</t>
  </si>
  <si>
    <t>ScoreGroup</t>
  </si>
  <si>
    <t>GROUP</t>
  </si>
  <si>
    <t>EIU Calculation</t>
  </si>
  <si>
    <t>1. http://www.giswatch.org/sites/default/files/Ethiopia.pdf
2. http://au.int/en/sites/default/files/AU%20Convention%20EN.%20%283-9-2012%29%20clean_0.pdf (PDF for policies)
3. http://dev.j2designpartnership.com/cgcs/web/africa-moves-towards-a-common-cyber-security-legal-framework/</t>
  </si>
  <si>
    <t>1. http://www.ssa.gov.za/Portals/0/SSA%20docs/Speeches/2014/Minister%20Cwele%20Cyber%20Security%2027%20March%202014.pdf
2. http://www.ngopulse.org/article/south-africa-must-pay-more-attention-cybercrime</t>
  </si>
  <si>
    <t>1. http://cloudscorecard.bsa.org/2013/assets/PDFs/country_reports/Country_Report_Argentina.pdf</t>
  </si>
  <si>
    <t>1. http://cloudscorecard.bsa.org/2013/assets/PDFs/country_reports/Country_Report_Brazil.pdf (Pg. 2)
2. http://www.linhadefensiva.com/2012/11/after-13-years-brazil-approves-two-cybercrime-laws-at-once/
3. http://www.bkbg.com.br/direito-de-internet-publicadas-leis-que-tipificam-crimes-informaticos/?lang=en
4. http://www.abs-cbnnews.com/business/02/27/13/wild-west-online-fraud-finally-gets-cyber-crime-law
5. http://www.zdnet.com/brazil-struggles-to-create-cybersecurity-policies-7000026701/</t>
  </si>
  <si>
    <t>1. http://cloudscorecard.bsa.org/2013/assets/PDFs/country_reports/Country_Report_USA.pdf
2. http://www.dhses.ny.gov/ocs/resources/documents/cybersecurity-framework-021214.pdf
3. http://www.ncsl.org/research/telecommunications-and-information-technology/state-laws-related-to-internet-privacy.aspx
4. http://oag.ca.gov/privacy/privacy-laws</t>
  </si>
  <si>
    <t>1. http://www.padgetttoronto.com/content/m-privacy-policy
2. http://publications.gc.ca/Collection/Statcan/85-558-X/85-558-XIE2002001.pdf (Pg. 8)
3. http://cloudscorecard.bsa.org/2013/assets/PDFs/country_reports/Country_Report_Canada.pdf (Pg. 1)</t>
  </si>
  <si>
    <t xml:space="preserve">1. http://cloudscorecard.bsa.org/2013/assets/PDFs/country_reports/Country_Report_USA.pdf
2. http://www.dhses.ny.gov/ocs/resources/documents/cybersecurity-framework-021214.pdf
3. http://www.cityofchicago.org/dam/city/depts/doit/supp_info/InformationSecurityPolicyv50Accessible.pdf
4. http://www.ncsl.org/research/telecommunications-and-information-technology/state-laws-related-to-internet-privacy.aspx </t>
  </si>
  <si>
    <t>1. http://www.infolawgroup.com/2010/07/articles/privacy-law/mexicos-new-data-protection-law/
2. http://cloudscorecard.bsa.org/2013/assets/PDFs/country_reports/Country_Report_Mexico.pdf
3. https://opennet.net/sites/opennet.net/files/Mexico_2013.pdf (Pg. 5)
4. http://igarape.org.br/wp-content/themes/igarape_v2/pdf/Strategic%20Paper%202%20(June%202012).pdf (Pg.13)</t>
  </si>
  <si>
    <t>1. http://www.trendmicro.com/cloud-content/us/pdfs/security-intelligence/white-papers/wp-latin-american-and-caribbean-cybersecurity-trends-and-government-responses.pdf
2. http://www.cybercrimelaw.net/Peru.html
3. http://www.ipsnews.net/2013/11/perus-new-cybercrime-law-undermines-transparency-legislation/ 
4. http://www.insightcrime.org/news-briefs/peru-overhauls-criminal-code-to-tackle-cybercrime</t>
  </si>
  <si>
    <t>http://files.dlapiper.com/files/Uploads/Documents/Data_Protection_Laws_of_the_World_2013.pdf</t>
  </si>
  <si>
    <t>1. http://cloudscorecard.bsa.org/2013/assets/PDFs/country_reports/Country_Report_USA.pdf
2. http://www.ncsl.org/research/telecommunications-and-information-technology/state-laws-related-to-internet-privacy.aspx
3. http://www.dhses.ny.gov/ocs/resources/documents/cybersecurity-framework-021214.pdf
4. http://www.pli.edu/product_files/booksamples/11513_sample5.pdf?%20t=WFZ0_8LBS2</t>
  </si>
  <si>
    <t>2. http://www.ncsl.org/research/telecommunications-and-information-technology/state-laws-related-to-internet-privacy.aspx
2. http://cloudscorecard.bsa.org/2013/assets/PDFs/country_reports/Country_Report_USA.pdf</t>
  </si>
  <si>
    <t>http://www.austlii.edu.au/au/legis/nsw/consol_act/ca190082/s308c.html
http://www.minterellison.com/publications/cybercrime-privacy-update-201305/
http://files.dlapiper.com/files/Uploads/Documents/Data_Protection_Laws_of_the_World_2013.pdf 
http://cloudscorecard.bsa.org/2013/assets/PDFs/country_reports/Country_Report_Australia.pdf</t>
  </si>
  <si>
    <t>1. http://www.premier.vic.gov.au/media-centre/media-releases/7681-bendigo-gets-a-10-000-lesson-in-cyber-crime-prevention.html
2. http://www.minterellison.com/publications/cybercrime-privacy-update-201305/
3. http://files.dlapiper.com/files/Uploads/Documents/Data_Protection_Laws_of_the_World_2013.pdf 
4. http://cloudscorecard.bsa.org/2013/assets/PDFs/country_reports/Country_Report_Australia.pdf
5. http://www.austlii.edu.au/au/legis/vic/consol_act/ca195882/s21a.html
6. http://www.austlii.edu.au/au/legis/vic/consol_act/ca195882/s68.html
7. http://www.austlii.edu.au/au/legis/vic/consol_act/ca195882/s247b.html</t>
  </si>
  <si>
    <t>1. http://www.mondaq.com/x/241144/Data+Protection+Privacy/Hong+Kong+Strengthens+Its+Personal+Data+Privacy+Laws+And+Imposes+Criminal+Penalties+On+Direct+Marketing</t>
  </si>
  <si>
    <t>1. http://www.ft.com/intl/cms/s/0/ea96e13e-105a-11e3-99e0-00144feabdc0.html</t>
  </si>
  <si>
    <t>1. http://www.whitecase.com/files/Publication/58829ab4-e10d-4371-b722-74681b4ac7e6/Presentation/PublicationAttachment/07ca803c-6ce8-49ae-8b4d-622557551990/alert-Data-Protection-and-Privacy-in%20China-March-2012.pdf
2. http://www.isc.org.cn/english/About_Us/Bylaw/</t>
  </si>
  <si>
    <t>1. http://fzj.sz.gov.cn/en/271.asp
2. http://fzj.sz.gov.cn/en/208.asp</t>
  </si>
  <si>
    <t>1. http://www.whitecase.com/files/Publication/58829ab4-e10d-4371-b722-74681b4ac7e6/Presentation/PublicationAttachment/07ca803c-6ce8-49ae-8b4d-622557551990/alert-Data-Protection-and-Privacy-in%20China-March-2012.pdf
2. http://www.isc.org.cn/english/About_Us/Bylaw/
3. http://www.freedominfo.org/documents/provisions.pdf</t>
  </si>
  <si>
    <t>1. http://www.whitecase.com/files/Publication/58829ab4-e10d-4371-b722-74681b4ac7e6/Presentation/PublicationAttachment/07ca803c-6ce8-49ae-8b4d-622557551990/alert-Data-Protection-and-Privacy-in%20China-March-2012.pdf
2. http://www.isc.org.cn/english/About_Us/Bylaw/
3. http://www.tj.gov.cn/english/open_government/Department/200709/t20070925_23366.htm
4. http://www.exploringtianjin.com/laws.html</t>
  </si>
  <si>
    <t>1. http://www.vaishlaw.com/article/information_technology_laws/data_protection_laws_in_india.pdf?articleid=100324 (Page 1 - 3)
2. http://legalknowledgeportal.com/2013/06/24/data-privacy-and-protection-law-in-india-understanding-the-regime/</t>
  </si>
  <si>
    <t>1. http://files.dlapiper.com/files/Uploads/Documents/Data_Protection_Laws_of_the_World_2013.pdf (For Indonesia)</t>
  </si>
  <si>
    <t>http://www.nortonrosefulbright.com/files/global-data-privacy-directory-52687.pdf
http://surveillance.rsf.org/en/iran/</t>
  </si>
  <si>
    <t>http://www.mofo.com/files/Uploads/Images/WDPR1207_Privacy.pdf</t>
  </si>
  <si>
    <t>http://kipis.sfc.keio.ac.jp/wp-content/uploads/2014/07/Outline-of-New-GOJ-Privacy-Framework.pdf
http://www.city.osaka.lg.jp/contents/wdu020/shimin/english/kurashi/06/04.html</t>
  </si>
  <si>
    <t>https://www.pdpc.gov.sg/legislation-and-guidelines/overview                                      
http://law.nus.edu.sg/asli/pdf/WPS001.pdf                                                                                                     
https://www.ida.gov.sg/About-Us/Newsroom/Media-Releases/2013/Singapore-Continues-to-Enhance-Cyber-Security-with-a-Five-Year-National-Cyber-Security-Masterplan-2018</t>
  </si>
  <si>
    <t>http://files.dlapiper.com/files/Uploads/Documents/Data_Protection_Laws_of_the_World_2013.pdf
http://papers.ssrn.com/sol3/papers.cfm?abstract_id=2120983</t>
  </si>
  <si>
    <t>http://www.google.com/url?sa=t&amp;rct=j&amp;q=&amp;esrc=s&amp;frm=1&amp;source=web&amp;cd=2&amp;cad=rja&amp;uact=8&amp;ved=0CCMQFjAB&amp;url=http%3A%2F%2Fdownload.microsoft.com%2Fdocuments%2Faustralia%2FAsiaPacific_Legislative_Analysis.pdf&amp;ei=Z138U7bzMuWwjALmmAE&amp;usg=AFQjCNGCol_ZmTeilMyLfE8ECAFeMeo96Q&amp;sig2=wD6cAjW4mDYJNWmre2_Dew&amp;bvm=bv.73612305,bs.1,d.cGE</t>
  </si>
  <si>
    <t>1. http://www.mondaq.com/x/231642/data+protection/Data+Protection+Laws+of+the+World+Handbook+Second+Edition+Thailand</t>
  </si>
  <si>
    <t>1. http://www.itic.org/dotAsset/83fe0977-25ae-4382-ae0a-60226856f182.pdf (Pg. 2)
2. http://www.lexology.com/library/detail.aspx?g=5708e78f-52d3-47c7-9545-ba61747f0f06</t>
  </si>
  <si>
    <t>1. http://www.escwa.un.org/wsis/reports/docs/Kuwait-2013-En.pdf (Pg. 14)</t>
  </si>
  <si>
    <t>1. http://www.edrm.net/resources/data-privacy-protection/bakerhostetler-data-privacy-laws/qatar
2. http://uk.practicallaw.com/1-518-8746#
3. http://dohanews.co/qatar-eyes-new-cybercrime-data-privacy-laws/
4. http://dohanews.co/qatars-draft-cybercrime-law-gets-nod-from-cabinet/</t>
  </si>
  <si>
    <t>http://ijarcet.org/wp-content/uploads/IJARCET-VOL-1-ISSUE-8-207-209.pdf</t>
  </si>
  <si>
    <t>http://gulfnews.com/uaessentials/residents-guide/legal/uae-cyber-crimes-law-1.442016
http://www.tamimi.com/en/magazine/law-update/section-5/may-5/developments-in-the-uae-cyber-crimes-law.html</t>
  </si>
  <si>
    <t xml:space="preserve">1. http://www.informationpolicycentre.com/files/Uploads/Documents/Centre/Belgian_Privacy_Commission_New_Guidance.pdf
</t>
  </si>
  <si>
    <t>1. http://www.epractice.eu/files/France%20Country%20Report.pdf</t>
  </si>
  <si>
    <t>1. http://www.iuscomp.org/gla/statutes/BDSG.htm
2. http://www.epractice.eu/files/Germany%20Country%20Report.pdf (Page 7)</t>
  </si>
  <si>
    <t xml:space="preserve">1. http://cryptome.org/cycrime-final.htm
2. http://www.epractice.eu/files/Italy%20Country%20Report.pdf
3. http://www.garanteprivacy.it/home_en
4. http://www.mosstingrett.no/info/legal.html
5. www.pglegal.it/practice-areas/data-privacy.html
</t>
  </si>
  <si>
    <t xml:space="preserve"> https://www.google.co.in/url?url=https://english.nctv.nl/Images/cybersecurityassessmentnetherlands_tcm92-520108.pdf&amp;rct=j&amp;frm=1&amp;q=&amp;esrc=s&amp;sa=U&amp;ei=3x4EVLb8PIe9igLXiYHwBA&amp;ved=0CBwQFjAA&amp;usg=AFQjCNFfqZdUq8SPGYHbLoSef2py7KpodA</t>
  </si>
  <si>
    <t>http://www.gp-digital.org/wp-content/uploads/pubs/FINAL%20-%20Deciphering%20Russia.pdf
http://www.itu.int/osg/spu/spam/legislation/legislation_russia.html</t>
  </si>
  <si>
    <t xml:space="preserve">1. http://epic.org/privacy/intl/lssi.html
2. http://ec.europa.eu/justice/policies/privacy/docs/studies/final_report_pets_16_07_10_en.pdf
3. http://www.agpd.es/portalwebAGPD/canaldocumentacion/publicaciones/common/Guias/intecoaepd_privacy_and_security_social_networks_web_accesible.pdf
4. http://www.ismsforum.es/ficheros/descargas/a-national-cyber-security-strategy-.pdf
</t>
  </si>
  <si>
    <t>http://www.edrm.net/resources/data-privacy-protection/data-protection-laws/switzerland</t>
  </si>
  <si>
    <t xml:space="preserve">1. http://cloudscorecard.bsa.org/2013/assets/PDFs/country_reports/Country_Report_UK.pdf
</t>
  </si>
  <si>
    <t>1. http://www.aau.edu.et/aait/academics/center-for-information-technology-and-scientific-computing/overview-of-cit/
2. http://www.wolfpackrisk.com/2014_Nigerian_Cyber_Threat_Barometer_(Med_Res).pdf</t>
  </si>
  <si>
    <t xml:space="preserve">1. http://www.issafrica.org/iss-today/south-africa-must-pay-more-attention-to-cybercrime
2. http://cybercrime.org.za/local-resources/
</t>
  </si>
  <si>
    <t>1. http://www.fosigrid.org/south-america/argentina
2. http://www.bnamericas.com/news/technology/buenos-aires-ranked-as-riskiest-online-city-in-latin-america
3. http://www.trendmicro.com/cloud-content/us/pdfs/security-intelligence/white-papers/wp-latin-american-and-caribbean-cybersecurity-trends-and-government-responses.pdf</t>
  </si>
  <si>
    <t>1. http://sites.miis.edu/cysec/2014/01/16/profile-of-brazils-overall-cyber-security-situation/
2. http://www.mpsafe.com.br/2014/06/manifesto-alerta-contra-vulnerabilidade.html
3. http://www.pwc.com.br/pt/publicacoes/assets/pesquisa-crimes-digitais-11-ingles.pdf</t>
  </si>
  <si>
    <t>City-specific
1. http://ican4kids.org/issues_CSEC_Cyber_Crime.asp
2. http://atty.lacity.org/stellent/groups/electedofficials/@atty_contributor/documents/contributor_web_content/lacityp_028366.pdf
National level
1. http://www.policeforum.org/assets/docs/Critical_Issues_Series_2/the%20role%20of%20local%20law%20enforcement%20agencies%20in%20preventing%20and%20investigating%20cybercrime%202014.pdf
2. http://www.dhses.ny.gov/ocs/awareness-training-events/events/2014/index.cfm
3. http://www.ourdigitalmags.com/article/Cyber+Crime%3A+Evolving+Threats+Against+our+Nation%E2%80%99s+Critical+Infrastructure/1500454/0/article.html
4. http://www.seniorcitizensguide.com/articles/southjersey/cyber-safety-for-seniors.htm</t>
  </si>
  <si>
    <t>1. http://www.bestplaces.net/docs/studies/riskiest_online_cities.aspx
2. http://www.staysafeonline.org/about-us/events/ (Search "Cyber-Seniors Screening")
3. http://ican4kids.org/issues_CSEC_Cyber_Crime.asp
4. http://www.policeforum.org/assets/docs/Critical_Issues_Series_2/the%20role%20of%20local%20law%20enforcement%20agencies%20in%20preventing%20and%20investigating%20cybercrime%202014.pdf
5. http://www.dhses.ny.gov/ocs/awareness-training-events/events/2014/index.cfm
6. http://www.ourdigitalmags.com/article/Cyber+Crime%3A+Evolving+Threats+Against+our+Nation%E2%80%99s+Critical+Infrastructure/1500454/0/article.html
7. http://www.seniorcitizensguide.com/articles/southjersey/cyber-safety-for-seniors.htm</t>
  </si>
  <si>
    <t>1. http://www.torontopolice.on.ca/modules.php?op=modload&amp;name=News&amp;file=article&amp;sid=5940
2. http://www.cucentral.ca/News/cyber%20crime.pdf?Mobile=1
3. http://www.getprepared.gc.ca/cnt/rsrcs/sfttps/tp201010-eng.aspx</t>
  </si>
  <si>
    <t>1. http://www.eset.com/us/presscenter/press-releases/article/eset-opens-research-development-center-in-canada-at-montreals-ecole-polytechnique-campus/</t>
  </si>
  <si>
    <t>1. http://ican4kids.org/issues_CSEC_Cyber_Crime.asp
2. http://www.policeforum.org/assets/docs/Critical_Issues_Series_2/the%20role%20of%20local%20law%20enforcement%20agencies%20in%20preventing%20and%20investigating%20cybercrime%202014.pdf
3. http://www.dhses.ny.gov/ocs/awareness-training-events/events/2014/index.cfm
4. http://www.ourdigitalmags.com/article/Cyber+Crime%3A+Evolving+Threats+Against+our+Nation%E2%80%99s+Critical+Infrastructure/1500454/0/article.html
5. http://www.seniorcitizensguide.com/articles/southjersey/cyber-safety-for-seniors.htm
6. http://csrc.nist.gov/nice/about.html
7. http://www.dhs.gov/stopthinkconnect-cyber-awareness-coalition</t>
  </si>
  <si>
    <t>https://globalnewsmatters.com/cyber-crime-critical-infrastructure-americas-strong-weakest-link/
http://www.thenews.com.mx/index.php/mexico-articulos/18709-cyber-crime-rises-in-mexico-city</t>
  </si>
  <si>
    <t xml:space="preserve"> -</t>
  </si>
  <si>
    <t>http://www.trendmicro.com/cloud-content/us/pdfs/security-intelligence/white-papers/wp-latin-american-and-caribbean-cybersecurity-trends-and-government-responses.pdf</t>
  </si>
  <si>
    <t>1. http://www.dhses.ny.gov/ocs/awareness-training-events/events/2014/index.cfm
2. http://www.dhses.ny.gov/ocs/awareness-training-events/
3. http://ican4kids.org/issues_CSEC_Cyber_Crime.asp
4. http://www.policeforum.org/assets/docs/Critical_Issues_Series_2/the%20role%20of%20local%20law%20enforcement%20agencies%20in%20preventing%20and%20investigating%20cybercrime%202014.pdf
5. http://www.dhses.ny.gov/ocs/awareness-training-events/events/2014/index.cfm
6. http://www.ourdigitalmags.com/article/Cyber+Crime%3A+Evolving+Threats+Against+our+Nation%E2%80%99s+Critical+Infrastructure/1500454/0/article.html
7. http://www.seniorcitizensguide.com/articles/southjersey/cyber-safety-for-seniors.htm
8. http://csrc.nist.gov/nice/about.html</t>
  </si>
  <si>
    <t>1. http://www.dhses.ny.gov/ocs/awareness-training-events/events/2014/index.cfm
2. http://www.ourdigitalmags.com/article/Cyber+Crime%3A+Evolving+Threats+Against+our+Nation%E2%80%99s+Critical+Infrastructure/1500454/0/article.html
3. https://msisac.cisecurity.org/resources/toolkit/documents/AfterAction.pdf (Pg. 17)
4. http://csrc.nist.gov/nice/about.html</t>
  </si>
  <si>
    <t>1. http://www.police.nsw.gov.au/community_issues/internet_safety/privacy_awareness_week
2. http://www.police.nsw.gov.au/community_issues/children/5000_dollar_reward_for_reports_of_sexual_exploitation_of_children
3. http://www.staysmartonline.gov.au/
4. http://www.afp.gov.au/policing/cybercrime/virtual-global-taskforce.aspx
5. http://www.afp.gov.au/policing/cybercrime/crime-prevention.aspx
6. http://www.scamwatch.gov.au/content/index.phtml/itemId/725675
7. http://www.victimsa.org/files/cybercrime-report-2014.pdf
8. http://www.cybersmart.gov.au/About%20Cybersmart.aspx</t>
  </si>
  <si>
    <t>1. http://www.afp.gov.au/policing/cybercrime/virtual-global-taskforce.aspx
2. http://www.winters-flat-ps.vic.edu.au/our-programs.html
4. http://www.afp.gov.au/policing/cybercrime/crime-prevention.aspx
5. http://www.scamwatch.gov.au/content/index.phtml/itemId/725675
6. http://www.victimsa.org/files/cybercrime-report-2014.pdf
7. http://www.cybersmart.gov.au/About%20Cybersmart.aspx</t>
  </si>
  <si>
    <t>http://www.digital21.gov.hk/eng/D21SAC/attachments/D21SAC_paper_9-2011.pdf (page6)</t>
  </si>
  <si>
    <t>http://www.isc.org.cn/english/About_Us/Bylaw/ (point 3 under the heading "Purpose of ISC")</t>
  </si>
  <si>
    <t>City specific
1. http://m.tech.firstpost.com/news-analysis/mumbai-police-launch-cyber-safety-initiative-3082.html
National level
1. www.idsa.in/system/files/book_indiacybersecurity.pdf‎ (Page 46)
2. http://www.cyberorgindia.com/about-us.html</t>
  </si>
  <si>
    <t>City specific
1. http://delhipolice.nic.in/home/about/dpcharter.aspx
National level
1. www.idsa.in/system/files/book_indiacybersecurity.pdf‎ (page 46)
2. http://www.cyberorgindia.com/about-us.html</t>
  </si>
  <si>
    <t>1. http://dakaadvisory.com/wp-content/uploads/DAKA-Indonesia-cyber-security-2013-web-version.pdf (Page 29, 31)</t>
  </si>
  <si>
    <t>http://canadafreepress.com/index.php/article/developments-in-iranian-cyber-warfare-2013-2014</t>
  </si>
  <si>
    <t>http://cybersummit.info/sites/cybersummit.info/files/Japan_edited%20v2.pdf-FINAL.pdf (Page 2)</t>
  </si>
  <si>
    <t>1. http://news.pia.gov.ph/index.php?article=1781399459494
2. http://www.google.com/url?sa=t&amp;rct=j&amp;q=&amp;esrc=s&amp;frm=1&amp;source=web&amp;cd=9&amp;cad=rja&amp;uact=8&amp;ved=0CFcQFjAI&amp;url=http%3A%2F%2Fwww.apec.org%2FGroups%2FSOM-Steering-Committee-on-Economic-and-Technical-Cooperation%2FWorking-Groups%2FTelecommunications-and-Information%2F~%2Fmedia%2FFiles%2FGroups%2FTEL%2FSPSG%2F09_tel40_spsg_013.ashx&amp;ei=KeIHVJnsJNPIgwTSvYLYCw&amp;usg=AFQjCNHDxYaAbeqgBsjIhMCU-20p1nzlZA&amp;sig2=Y42vU0PVCnryG9LisQ_o2A&amp;bvm=bv.74649129,d.eXY</t>
  </si>
  <si>
    <t>https://www.ida.gov.sg/About-Us/Newsroom/Speeches/2013/Speech-by-Dr-Yaacob-Ibrahim-Minister-for-Communications-and-Information-at-the-Information-Security-Seminar-2013                                                                                       http://www.google.com/url?url=http://publications.drdo.gov.in/ojs/index.php/djlit/article/download/144/59&amp;rct=j&amp;frm=1&amp;q=&amp;esrc=s&amp;sa=U&amp;ei=zOYHVL7JJYyhugSDkoH4AQ&amp;ved=0CC8QFjAC&amp;usg=AFQjCNHvpk7TOzAfORXJBMAk7jpE4WRXyQ                                                                                                                      http://www.mha.gov.sg/news_details.aspx?nid=Mjk2OQ%3D%3D-VO8owVZQ3SA%3D              
http://www.rsaconference.com/press/11/inaugural-rsa-conference-asia-pacific-showcases-the</t>
  </si>
  <si>
    <t>1. http://www.koreaittimes.com/story/9244/campaign-reduce-citizen-cyberbullying
2. http://www.symantec.com/connect/blogs/seoul-dc-highlights-cybersecurity-awareness-month
3. http://www.acma.gov.au/webwr/_assets/main/lib310665/galexia_report-overview_intnl_cybersecurity_awareness.pdf</t>
  </si>
  <si>
    <t>1. http://taiwan.emc.com/about/news/press/2011/20111004-01.htm
2. http://www.gmanetwork.com/news/story/324403/scitech/technology/taiwan-launches-world-s-first-free-public-malware-database</t>
  </si>
  <si>
    <t>1. https://www.isc2.org/EventDetails.aspx?id=9896
2. http://www.zdnet.com/th/thailand-revising-cybercrime-law-for-balance-better-security-7000014389/
3. http://www.cybersecurityasia.com/AgendaSection.aspx?tp_day=34682&amp;tp_session=28688</t>
  </si>
  <si>
    <t>1. http://en.vietnamplus.vn/Home/Vietnam-faces-high-risk-of-cyber-attacks/20145/49957.vnplus
2. http://www.unicef.org/vietnam/reallives_20012.html</t>
  </si>
  <si>
    <t>1. https://www.cait.gov.kw/About-Us/Amiri-Decree.aspx
2. http://www.google.com/url?sa=t&amp;rct=j&amp;q=&amp;esrc=s&amp;frm=1&amp;source=web&amp;cd=2&amp;cad=rja&amp;uact=8&amp;ved=0CCQQFjAB&amp;url=http%3A%2F%2Fwww.itu.int%2FITU-D%2FCDS%2Fgq%2Fgeneric%2Fasp-reference%2Ffile_download.asp%3FFileID%3D568&amp;ei=-MgFVIT7BMrq8AXv6ICoBg&amp;usg=AFQjCNFBOJembrDFeYiB15oZ4IXwbz5QMg&amp;bvm=bv.74115972,d.dGc</t>
  </si>
  <si>
    <t>1. http://www.qcert.org/about-q-cert
2. http://www.ictqatar.qa/en/news-events/news/doha-film-institute-and-ictqatar-partner-tackle-cyber-safety
3. http://dohanews.co/cyber-threats-report/</t>
  </si>
  <si>
    <t>1. http://www.saudigazette.com.sa/index.cfm?method=home.PrintContent&amp;fa=regcon&amp;action=Print&amp;contentid=20140818215073&amp;simplelayout=1
2. http://www.infonomics-society.org/IJICR/The%20Need%20for%20Effective%20Information%20Security%20Awareness.pdf</t>
  </si>
  <si>
    <t>http://uaecyber.com/en/about/
http://www.aecert.ae/service.php
http://www.aecert.ae/awarness-topics.php</t>
  </si>
  <si>
    <t>1. http://www.fedict.belgium.be/en/over_fedict/realisaties/Actieplan_digitale_kloof.jsp</t>
  </si>
  <si>
    <t>http://www.english.rfi.fr/economy/20131003-france-has-highest-cybercrime-rate-europe
2. http://www.epractice.eu/files/France%20Country%20Report.pdf</t>
  </si>
  <si>
    <t>http://www.mcafee.com/in/resources/reports/rp-economic-impact-cybercrime2.pdf (page 21)</t>
  </si>
  <si>
    <t>http://www.dis.uniroma1.it/~midlab/articoli/13CIS-Report.pdf</t>
  </si>
  <si>
    <t xml:space="preserve">1. http://www.cbs.nl/NR/rdonlyres/29D1E5F0-2223-4C9F-81EB-225B4EC1C8CD/0/pb13e016.pdf
2. Link for PDF at the end: https://www.ncsc.nl/english/current-topics/news/new-cyber-security-strategy-strengthens-cooperation-between-government-and-businesses.html
3. https://www.alertonline.nl/
4. http://www.answersforbusiness.nl/regulation/prevention-crime
</t>
  </si>
  <si>
    <t>http://www.gp-digital.org/wp-content/uploads/pubs/FINAL%20-%20Deciphering%20Russia.pdf
http://www.criticalthreats.org/russia/russia-and-cyber-threat
http://www.eset.com/us/resources/white-papers/CARO_2011.pdf</t>
  </si>
  <si>
    <t>1. http://www.rediris.es/actividades/pgp/
2. https://www.enisa.europa.eu/activities/Resilience-and-CIIP/national-cyber-security-strategies-ncsss/NCSS_ESen.pdf
3. http://www.ismsforum.es/ficheros/descargas/a-national-cyber-security-strategy-.pdf</t>
  </si>
  <si>
    <t>https://www.enisa.europa.eu/activities/Resilience-and-CIIP/national-cyber-security-strategies-ncsss/NCSS_ESen.pdf</t>
  </si>
  <si>
    <t>http://www.swissinfo.ch/eng/cyber-bullying-pulled-out-of-the-shadows/33780780
https://www.pwc.ch/en/microsite/global_and_swiss_economic_crime_survey.html
http://www.enisa.europa.eu/activities/Resilience-and-CIIP/national-cyber-security-strategies-ncsss/Switzerlands_Cyber_Security_strategy.pdf</t>
  </si>
  <si>
    <t>http://www.google.com/url?sa=t&amp;rct=j&amp;q=&amp;esrc=s&amp;frm=1&amp;source=web&amp;cd=6&amp;cad=rja&amp;uact=8&amp;ved=0CEQQFjAF&amp;url=http%3A%2F%2Fwww.itu.int%2Fwsis%2Fimplementation%2F2014%2Fforum%2Finc%2Fps%2Fdoc%2FPolicyStatementsSessionTwo-H%2FDr.Tayfun.Acarer_Turkey.docx&amp;ei=JVEEVImyAdT8oQSIl4KYDg&amp;usg=AFQjCNHfoT3TK8n3UZexj7CTc-mfy3fNtg&amp;sig2=sqBjGFylS1BW9gIOp9GaZw</t>
  </si>
  <si>
    <t>1. http://www.epractice.eu/files/United%20Kingdom%20Country%20Report.pdf
2. http://cloudscorecard.bsa.org/2013/assets/PDFs/country_reports/Country_Report_UK.pdf</t>
  </si>
  <si>
    <t xml:space="preserve">1. http://www.bbc.com/news/business-23086014
2. http://www.koreaherald.com/view.php?ud=20140511000357&amp;mod=skb
3. http://www.theguardian.com/technology/2005/aug/04/onlinesupplement
4. http://www.addisfortune.com/Vol%2010%20No%20516%20Archive/INSA%20Installing%20Street%20Surrviellance%20Cameras.htm
</t>
  </si>
  <si>
    <t>1. http://mybroadband.co.za/news/internet/26869-sas-internet-users-who-are-they-really.html
2. http://www.financialmail.co.za/incoming/2012/06/25/infrastructure-hindering-sas-internet-potential
3. http://www.budde.com.au/Research/South-Africa-Broadband-Market-Insights-Statistics-and-Forecasts.html</t>
  </si>
  <si>
    <t>1. http://www.internetsociety.org/map/global-internet-report/?gclid=Cj0KEQjwm6CgBRC0zOmrydrqmosBEiQA_xoLRsvOLR-JBw-KPI4V7iIrtv0CfNsGZGHvp-X_lmZfCOYaAmyl8P8HAQ
2. http://www.arsat.com.ar/en/arsat-en-las-politicas-de-estado-argentino/red-federal-de-fibra-optica
3. http://www.alcatel-lucent.com/press/2013/002852
4. http://www.fastcoexist.com/1679743/buenos-aires-the-making-of-a-smart-city</t>
  </si>
  <si>
    <t xml:space="preserve">1. http://ec.europa.eu/research/participants/portal/desktop/en/opportunities/h2020/calls/h2020-eub-2015.html
2. http://www.ctwatch.org/quarterly/articles/2006/02/cyberinfrastructure-for-multidisciplinary-science-in-brazil/3/
3. http://www.mikebloomberg.com/files/BCG_Building_a_Digital_City_Apr_2014.pdf
4. http://www.as-coa.org/articles/explainer-fighting-cybercrime-latin-america
5.http://www.forbes.com/sites/ricardogeromel/2012/03/02/hackers-stole-1billion-in-brazil-the-worst-prepared-nation-to-adopt-cloud-technology/
6. https://a4ai.org/wp-content/uploads/2014/08/A4AI-Case-Study-Brazil-FINAL_US.pdf (Page 7)
</t>
  </si>
  <si>
    <t>1. https://www.acquia.com/about-us/newsroom/press-releases/city-los-angeles-selects-acquia-build-and-scale-digital-platforms
2. http://www.fastcoexist.com/1680967/the-top-10-smartest-cities-in-north-america
3. http://laist.com/2012/12/03/la_is_9th_smartest_city_in_north_america.php
4. http://articles.latimes.com/2013/nov/02/local/la-me-1103-cyber-attacks-20131103
5. http://www.thebusinessjournal.com/images/stories/2012/technology/S_613MBS_Press.pdf</t>
  </si>
  <si>
    <t>1. http://www.siliconbeat.com/2014/07/30/san-francisco-among-growing-list-of-smart-cities/
2. http://reimaginerpe.org/node/1823
3. http://www.mikebloomberg.com/files/BCG_Building_a_Digital_City_Apr_2014.pdf
4. http://www.thebusinessjournal.com/en/news/technology/6680-report-central-valley-lags-in-broadband-mobile-internet
5. http://www.thebusinessjournal.com/images/stories/2012/technology/S_613MBS_Press.pdf</t>
  </si>
  <si>
    <t>1. http://www2.canada.com/aboutus/advertising/citydots_pages/cp_toronto.html
2. http://www.wifihifi.ca/LatestNewsHeadlines/Wi-FiComingtoMoreTorontoSubways.html</t>
  </si>
  <si>
    <t>1. http://ville.montreal.qc.ca/pls/portal/docs/page/prt_vdm_fr/media/documents/ville_intelligente_en_2014.pdf
2. http://business.financialpost.com/2011/10/19/bell-to-provide-free-wifi-access-in-montreal/
3. http://www.openwifispots.com/citylist_free_wifi_wireless_hotspot-Montreal_QC.aspx
4. http://newsroom.transcore.com/press-release/city-montreal-deploys-transcores-transsuite-advanced-traffic-management-system-citywid</t>
  </si>
  <si>
    <t>1. http://www.cityofchicago.org/city/en/depts/doit/provdrs/dei/svcs/techlocator.html
2. http://www.cityofchicago.org/city/en/depts/doit/provdrs/dei/news/2013/sep/city_council_approvesexpansionoffiberopticcablesaspartofbroadban.html
3. http://www.broadbandillinois.org/Use-it/The-Chicago-Broadband-Initiative.html
4. http://www.cityofchicago.org/dam/city/depts/doit/supp_info/DEI/Digital_Excellence_Study_2009.pdf (Page 5)</t>
  </si>
  <si>
    <t>1. http://www.zdnet.com/au/australia-tops-oecd-mobile-broadband-penetration-fibre-lags-7000024999/
2. http://cloudscorecard.bsa.org/2013/assets/PDFs/country_reports/Country_Report_Mexico.pdf
3. http://www.symantec.com/content/en/us/enterprise/other_resources/b-cyber-security-trends-report-lamc.pdf</t>
  </si>
  <si>
    <t>1. https://a4ai.org/wp-content/uploads/2014/07/Case-Study-Peru-FINAL1.pdf
2. http://www.digitalsecuritymagazine.com/en/2014/05/05/alava-ingenieros-suministra-el-equipamiento-y-gestion-para-la-infraestructura-de-grabacion-de-la-linea-1-de-lima/
3. http://www.jsbernstein.com/initeb/telecom.html
4. http://www.ruckuswireless.com/press/releases/20131021-users-in-peru-to-enjoy-more-reliable-wi-fi-access</t>
  </si>
  <si>
    <t>1. http://www.siemens.co.uk/traffic/en/index/aboutus/company.htm
2. http://www.businesschile.cl/en/news/secondary-story/4g-chile%E2%80%99s-next-generation-mobile-internet
3. http://www.ilovechile.cl/2014/08/22/santiago-latin-american-cities-live/118047</t>
  </si>
  <si>
    <t>http://www.nyc.gov/html/static/pages/roadmap/access.shtml#1</t>
  </si>
  <si>
    <t>http://www.networkworld.com/article/2199101/lan-wanwo-thirds-of-u-s--internet-users-lack-fast-/lan-wan/two-thirds-of-u-s--internet-users-lack-fast-broadband.html</t>
  </si>
  <si>
    <t>1. http://www.ericsson.com/res/docs/2013/ns-city-index-report-2013.pdf
2. http://www.listcult.com/ten-smartest-countries-world/
3. http://www.enigmasoftware.com/top-20-countries-the-most-cybercrime/
4. http://www.abc.net.au/lateline/content/2014/s3985473.htm
5. http://cloudscorecard.bsa.org/2013/assets/PDFs/country_reports/Country_Report_Australia.pdf
6. http://www.ibm.com/smarterplanet/au/en/smarter_cities/ideas/
7. http://www.ibm.com/smarterplanet/au/en/smarter_cities/ideas/</t>
  </si>
  <si>
    <t>1. http://www.fastcoexist.com/1679127/the-top-10-smart-cities-on-the-planet
2. http://www.listcult.com/ten-smartest-countries-world/
3. http://www.enigmasoftware.com/top-20-countries-the-most-cybercrime/
4. http://www.abc.net.au/lateline/content/2014/s3985473.htm
5. http://cloudscorecard.bsa.org/2013/assets/PDFs/country_reports/Country_Report_Australia.pdf
6. http://www.ibm.com/smarterplanet/au/en/smarter_cities/ideas/</t>
  </si>
  <si>
    <t>1. http://www.pressreleasenetwork.com/newsroom/news_view.phtml?news_id=3745
2. http://www.digital21.gov.hk/eng/relatedDoc/download/2014D21S-booklet.pdf (Page 4, 9, 23 and 24)
3. http://www.ericsson.com/res/docs/2013/ns-city-index-report-2013.pdf (Page 17)</t>
  </si>
  <si>
    <t>1. http://www.jpmorganchase.com/corporate/Corporate-Responsibility/document/GCI-Background-Note-052413_ada.pdf (Page 1 and Page 4)
2. http://www.govtech.com/security/Beijing-Moves-Forward-On-Digital-City.html
3. http://www.ericsson.com/res/docs/2013/ns-city-index-report-2013.pdf (Page 17)</t>
  </si>
  <si>
    <t>1. http://www.ai.soc.i.kyoto-u.ac.jp/publications/00/00work02.pdf (Page 3)
2. http://www.chinadaily.com.cn/china/2012-06/01/content_15440952.htm
3. http://www.ericsson.com/res/docs/2013/ns-city-index-report-2013.pdf (Page 17)</t>
  </si>
  <si>
    <t>1. http://www.shenzhen-standard.com/2014/05/19/city-to-introduce-online-traffic-monitoring-system
2. http://www.echinacities.com/news/High-Speed-4G-Internet-Coverage-Available-Throughout-Shenzhen-Next-Year
3. http://www.dailytech.com/Shenzhen+Airlines+Gets+InFlight+Internet+Cell+Phone+Coverage/article8707.htm</t>
  </si>
  <si>
    <t>1. http://dmx.listedcompany.com/newsroom/PressRelease-ChinaMRT040505.pdf
2. http://www.chinawirelessnews.com/2013/08/06/11826-guangzhou-aims-to-complete-free-public-wi-fi-coverage-by-2015/
3. http://gdgutian.com/EN/ProductView.Asp?ID=105&amp;SortID=2</t>
  </si>
  <si>
    <t>1. http://www.energydigital.com/greentech/1902/The-Future-of-Urban-Development:-Tianjin-Eco-City
2. http://www.vivotek.com/web/pressroom/successstoriesdetail.aspx?sid=S20120422025
3. http://www.kyland.com/app_detail1/pid/153/typeid/4/did/11.html
4. http://www.cepa2.org/activities_events_cont_201310.html</t>
  </si>
  <si>
    <t>1. http://timesofindia.indiatimes.com/city/mumbai/Need-hi-tech-CCTV-cameras-Traffic-police-chief/articleshow/34440318.cms
2. http://www.livemint.com/Specials/HucTFmqE2wflhIpVTcv0XN/Smart-cities-to-soon-become-a-reality-in-India.html
3. http://tech.firstpost.com/news-analysis/mumbai-soon-get-affordable-wi-fi-mtnl-217004.html
4. http://www.ericsson.com/res/docs/2013/ns-city-index-report-2013.pdf (Page 17)</t>
  </si>
  <si>
    <t>1. http://www.egovreach.in/social/node/781
2. http://deity.gov.in/content/intelligent-transportation-system-its
3. http://tech.firstpost.com/news-analysis/mumbai-soon-get-affordable-wi-fi-mtnl-217004.html
4. http://www.ericsson.com/res/docs/2013/ns-city-index-report-2013.pdf (Page 17)</t>
  </si>
  <si>
    <t>1. http://www.ericsson.com/res/docs/2013/ns-city-index-report-2013.pdf (Page 17)
2. https://www.privacyinternational.org/reports/indonesia/iv-privacy-issues
3. http://www.nisc.go.jp/security-site/campaign/ajsympo/pdf/lecture2.pdf (Page 12)</t>
  </si>
  <si>
    <t>1. http://www.pressreleasenetwork.com/newsroom/news_view.phtml?news_id=3745
2. http://articles.economictimes.indiatimes.com/2014-08-06/news/52514379_1_tokyo-bay-hydrogen-fuel-cell-panasonic-eyes (heading: COOL SPOTS, SOLAR POWER)
3. http://www.hitachi.com/businesses/infrastructure/product_solution/mobility/safety_transport/tokyo_area_transport.html
4. http://www.japan-guide.com/e/e2279.html
5. http://www.techspot.com/news/52275-worlds-fastest-internet-arrives-in-tokyo-2gbps-for-50-mo.html</t>
  </si>
  <si>
    <t>1. http://japan.kantei.go.jp/policy/it/i-JapanStrategy2015_full.pdf
2. http://www.greentelecomlive.com/2009/05/13/japan-to-build-massive-cloud-infrastructure-for-e-government/</t>
  </si>
  <si>
    <t>http://www.ida.gov.sg/Infocomm-Landscape/Infrastructure/Singapore-Internet-Exchange                       
http://blogs.wsj.com/searealtime/2012/12/05/singapore-tops-survey-with-worlds-best-infrastructure/       
http://www.internetworldstats.com/asia/sg.htm                                                                           
http://www.smartplanet.com/blog/bulletin/which-cities-are-the-most-tech-savvy/</t>
  </si>
  <si>
    <t>http://www.we-gov.org/wp-content/uploads/2011/11/SMART_SEOUL_2015_FINAL.pdf</t>
  </si>
  <si>
    <t>Not available</t>
  </si>
  <si>
    <t>1. http://www.bangkokpost.com/learning/learning-from-news/291478/bangkok-free-internet-23000-hotspots</t>
  </si>
  <si>
    <t>1. http://defense-update.com/20140615_cyber-intelligence-report-june-15-2014-2.html (search "Vietnam concerned about cyber security")
2. http://vietnamnews.vn/economy/256941/viet-nam-has-second-slowest-internet-connection-in-asia.html</t>
  </si>
  <si>
    <t>http://www.escwa.un.org/wsis/reports/docs/Kuwait-2013-En.pdf (Pg. 9)</t>
  </si>
  <si>
    <t>1. http://www.timeoutdoha.com/community/features/25691-free-internet-in-doha
2. http://www.gulf-times.com/qatar/178/details/393663/qatar-%E2%80%98safe-from-cyber-security-threats%E2%80%99</t>
  </si>
  <si>
    <t>http://tunisia.usembassy.gov/trade-mission-sept-28--oct-1-2013.html</t>
  </si>
  <si>
    <t>http://www.uaeinteract.com/french/news/default.asp?ID=456
http://www.enviroprojects.org/blog/abu-dhabi-spatial-data-infrastructure-concludes-first-stakeholders-meeting-for-2014</t>
  </si>
  <si>
    <t xml:space="preserve">1. http://ec.europa.eu/digital-agenda/sites/digital-agenda/files/BE%20internet%20use_0.pdf
2. http://daeimplementation.eu/member_states.php?id_country=2
</t>
  </si>
  <si>
    <t>1. http://www.webinfrance.com/free-wi-fi-all-over-paris-helps-tourists-stay-connected-624.html
2. http://www.telecompaper.com/news/sme-internet-penetration-reaches-84-in-paris-area--265047
3. http://businessculture.org/western-europe/business-culture-in-france/social-media-guide-for-france/</t>
  </si>
  <si>
    <t>1. http://www.frankfurt-business.net/en/location-frankfurt/zahlen-daten-fakten-en/infrastruktur-en/121-unterseiten-infratruktur-en/372-digital-hub-en.html</t>
  </si>
  <si>
    <t>1. http://www.dis.uniroma1.it/~midlab/articoli/13CIS-Report.pdf (refer page 12)
2. http://www.cabletv.com/ga/rome</t>
  </si>
  <si>
    <t>1. http://www.dis.uniroma1.it/~midlab/articoli/13CIS-Report.pdf (refer page 12)</t>
  </si>
  <si>
    <t xml:space="preserve">1. http://www.cbs.nl/en-GB/menu/themas/vrije-tijd-cultuur/publicaties/artikelen/archief/2008/2008-2641-wm.htm
2. http://www.internetworldstats.com/stats4.htm#europe
 3. https://www.google.co.in/url?url=https://english.nctv.nl/Images/cybersecurityassessmentnetherlands_tcm92-520108.pdf&amp;rct=j&amp;frm=1&amp;q=&amp;esrc=s&amp;sa=U&amp;ei=3x4EVLb8PIe9igLXiYHwBA&amp;ved=0CBwQFjAA&amp;usg=AFQjCNFfqZdUq8SPGYHbLoSef2py7KpodA
4. http://www.uaeinteract.com/french/news/default.asp?ID=456
</t>
  </si>
  <si>
    <t>http://www.criticalthreats.org/russia/russia-and-cyber-threat</t>
  </si>
  <si>
    <t>http://www.europapress.es/epsocial/noticia-garmendia-afirma-proyecto-rediris-nova-multiplicara-100-capacidad-comunicacion-sistema-cientifico-20110517162835.html
http://www.rediris.es/proyectos/fi-ware/index.html.en
http://www.rediris.es/proyectos/pasito/index.html.en
http://www.forbes.com/sites/jaynejung/2011/10/24/the-top-five-smartest-city-in-spain-and-why-the-us-should-care/</t>
  </si>
  <si>
    <t>http://www.theguardian.com/sustainable-business/time-for-cities-to-get-smart</t>
  </si>
  <si>
    <t xml:space="preserve">http://www.mediadesk.uzh.ch/articles/2013/jeder-zweite-akzeptiert-fehlende-privatsphaere-im-netz_en.html
http://www.e-gov.zh.ch/internet/staatskanzlei/egov/de/home.html
http://www.zurich-airport.com/passengers-and-visitors/airport-services-en/internet-and-mobile-phone
http://www.inyourpocket.com/Switzerland/Zurich/Basics/Free-Wi-Fi
</t>
  </si>
  <si>
    <t xml:space="preserve"> https://2014.spaceappschallenge.org/location/istanbul/                                       http://www.mckinsey.com/client_service/infrastructure/latest_thinking/the_global_infrastructure_initiative</t>
  </si>
  <si>
    <t>1. http://www.atkearney.com/paper/-/asset_publisher/dVxv4Hz2h8bS/content/the-internet-economy-in-the-united-kingdom/10192</t>
  </si>
  <si>
    <t>1. http://www.theguardian.com/technology/2005/aug/04/onlinesupplement
2. http://www.csmonitor.com/World/Security-Watch/Cyber-Conflict-Monitor/2014/0325/With-new-Chinese-cyber-tools-Ethiopia-more-easily-spies-on-its-people</t>
  </si>
  <si>
    <t>1. http://www.bbc.com/news/business-28191371
2. http://cybercrime.org.za/local-resources/
3. http://www.wolfpackrisk.com/wp-content/uploads/2012/10/SA%202012%20Cyber%20Threat%20Barometer_Medium_res.pdf</t>
  </si>
  <si>
    <t xml:space="preserve"> http://dialogo-americas.com/en_GB/articles/saii/features/society/2009/12/28/feature-03
https://a4ai.org/wp-content/uploads/2014/08/A4AI-Case-Study-Brazil-FINAL_US.pdf</t>
  </si>
  <si>
    <t>1. http://infragardlosangeles.org/?AspxAutoDetectCookieSupport=1
2. http://www.fbi.gov/news/stories/2011/september/cyber_091611
3. http://www.fbi.gov/news/stories/2006/march/cats030606
4. http://www.fbi.gov/stats-services/iguardian
5. http://www.fbi.gov/news/stories/2013/february/the-cyber-threat-planning-for-the-way-ahead/the-cyber-threat-planning-for-the-way-ahead
6. http://www.staysafeonline.org/about-us/
7. http://www.secretservice.gov/ectf_chicago.shtml
8. http://www.fbi.gov/about-us/partnerships_and_outreach/</t>
  </si>
  <si>
    <t>1. http://www.publicsafety.gc.ca/cnt/trnsprnc/ccss-nfrmtn-prvc/prvc-mpct-ssssmnt/cndn-cbr-ncdnt-eng.aspx (check heading "cyber security")
2. http://grand-nce.ca/newsandmedia/news-container/2014/cybersecurity-in-canada-focus-of-new-partnership-between-grand-and-serene-risc-networks</t>
  </si>
  <si>
    <t>1. http://www.eset.com/us/presscenter/press-releases/article/eset-opens-research-development-center-in-canada-at-montreals-ecole-polytechnique-campus/
2. http://www.publicsafety.gc.ca/cnt/trnsprnc/ccss-nfrmtn-prvc/prvc-mpct-ssssmnt/cndn-cbr-ncdnt-eng.aspx (check heading "cyber security")
3. http://grand-nce.ca/newsandmedia/news-container/2014/cybersecurity-in-canada-focus-of-new-partnership-between-grand-and-serene-risc-networks</t>
  </si>
  <si>
    <t>http://www.whitecase.com/files/Publication/6c5d86fe-e7cc-451f-b40d-a2209f290cd2/Presentation/PublicationAttachment/571ee350-c448-41ab-9948-aaef30df4cfd/Mexico-Infrastructure-Open-for-Investment-March-2014.pdf</t>
  </si>
  <si>
    <t>1. http://thedeliangroup.com/about.html
2. http://thedeliangroup.com/1/post/2014/08/its-the-economy.html
3. http://thedeliangroup.com/technologies.html</t>
  </si>
  <si>
    <t>1. http://www.microsoft.com/casestudies/-/CLCERT/Chile-and-Microsoft-Work-Together-on-IT-Security/4000002455
2. http://www.coe.int/t/dghl/cooperation/economiccrime/cybercrime/Documents/Reports-Presentations/2079%20if09%20pres%20Chile%20Veronica.pdf
3. http://thedeliangroup.com/about.html
4. http://thedeliangroup.com/1/post/2014/08/its-the-economy.html
5. http://thedeliangroup.com/technologies.html</t>
  </si>
  <si>
    <t>1. http://its.ny.gov/eiso/
2. http://msisac.cisecurity.org/partners/publicprivatewkgp.cfm
3. http://centerforfinancialstability.org/wp/?p=4648
4. http://infragardlosangeles.org/?AspxAutoDetectCookieSupport=1
5. http://www.fbi.gov/news/stories/2011/september/cyber_091611
6. http://www.fbi.gov/news/stories/2006/march/cats030606
7. http://www.fbi.gov/stats-services/iguardian
8. http://www.fbi.gov/news/stories/2013/february/the-cyber-threat-planning-for-the-way-ahead/the-cyber-threat-planning-for-the-way-ahead
9. http://www.staysafeonline.org/about-us/
10. http://www.secretservice.gov/ectf_chicago.shtml
11. http://www.fbi.gov/about-us/partnerships_and_outreach/</t>
  </si>
  <si>
    <t>1. http://www.staysafeonline.org/about-us/
2. http://www.secretservice.gov/ectf_chicago.shtml
3. http://www.fbi.gov/about-us/partnerships_and_outreach/</t>
  </si>
  <si>
    <t>http://www.afp.gov.au/policing/cybercrime/virtual-global-taskforce.aspx
http://www.afp.gov.au/policing/cybercrime/crime-prevention.aspx
http://www.scamwatch.gov.au/content/index.phtml/itemId/725675</t>
  </si>
  <si>
    <t>http://www.afp.gov.au/media-centre/publications/platypus/previous-editions/2000/december-2000/ecrime.aspx
1. http://www.premier.vic.gov.au/media-centre/media-releases/7681-bendigo-gets-a-10-000-lesson-in-cyber-crime-prevention.html
3. http://www.afp.gov.au/policing/cybercrime/virtual-global-taskforce.aspx
4. http://www.afp.gov.au/policing/cybercrime/crime-prevention.aspx
5. http://www.scamwatch.gov.au/content/index.phtml/itemId/725675</t>
  </si>
  <si>
    <t>1. https://www.hkcert.org/mission
2. http://www.nationmultimedia.com/technology/Dedicated-Microsoft-centre-battles-cybercrime-worl-30231046.html</t>
  </si>
  <si>
    <t>1. http://www.nationmultimedia.com/technology/Dedicated-Microsoft-centre-battles-cybercrime-worl-30231046.html
2. http://www.usito.org/sites/default/files/usito_u.s.-china_ict_roundtable_summary_2012_10_31.pdf (Page 2)
3. http://www.isc.org.cn/english/About_Us/Bylaw/
4. http://aseanregionalforum.asean.org/files/library/ARF%20Chairman's%20Statements%20and%20Reports/The%20Twentyfirst%20ASEAN%20Regional%20Forum,%202013-2014/22%20-%20Co-Chairs'%20Summary%20Report%20-%20ARF%20Workshop%20on%20Measures%20to%20Enhance%20Cyber%20Security,%20Beijing.pdf</t>
  </si>
  <si>
    <t>1. http://www.usito.org/sites/default/files/usito_u.s.-china_ict_roundtable_summary_2012_10_31.pdf (Page 2)
2. http://www.isc.org.cn/english/About_Us/Bylaw/
3. http://aseanregionalforum.asean.org/files/library/ARF%20Chairman's%20Statements%20and%20Reports/The%20Twentyfirst%20ASEAN%20Regional%20Forum,%202013-2014/22%20-%20Co-Chairs'%20Summary%20Report%20-%20ARF%20Workshop%20on%20Measures%20to%20Enhance%20Cyber%20Security,%20Beijing.pdf</t>
  </si>
  <si>
    <t>1. http://www.nasscom.in/NASSCOM-city/Mumbai
2. http://cybercellmumbai.gov.in/html/write-ups/mumbai-cyber-lab.html
3. http://m.tech.firstpost.com/news-analysis/mumbai-police-launch-cyber-safety-initiative-3082.html</t>
  </si>
  <si>
    <t>1. http://www.forceindia.net/Secure_Connected.aspx
2. http://www.thehindu.com/news/cities/Delhi/delhi-police-gets-cyber-lab-to-deal-with-online-fraud/article6274371.ece
3. http://www.nasscom.in/sites/default/files/NASSCOM%20Annual%20Report%202011-2012.pdf
4. http://www.secureindia.in/</t>
  </si>
  <si>
    <t>http://apac.trendmicro.com/apac/about-us/newsroom/releases/articles/20140525055322.html</t>
  </si>
  <si>
    <t>http://www.zdnet.com/japan-to-forge-ties-with-ethical-hackers-7000010310/</t>
  </si>
  <si>
    <t>http://interpol-world.com/sites/live.interpolworld.site.gsi.sg/files/IW2015-press-release.pdf    
http://www.zdnet.com/public-private-collaboration-needed-to-combat-security-2062302249/</t>
  </si>
  <si>
    <t>http://www.symantec.com/connect/blogs/seoul-dc-highlights-cybersecurity-awareness-month
http://csis.org/files/publication/Pac1284.pdf</t>
  </si>
  <si>
    <t>1. http://www.ares.com.tw/en/best-practice/29
2. http://www.microsoft.com/government/ww/safety-defense/blog/Pages/post.aspx?postID=195&amp;aID=57</t>
  </si>
  <si>
    <t>1. http://www.ciol.com/ciol/features/201759/itu-partners-brace-battle-cyber-threats
2. https://www.thaicert.or.th/about-en.html</t>
  </si>
  <si>
    <t>1. http://www.unpan.org/Regions/AsiaPacific/PublicAdministrationNews/tabid/115/mctl/ArticleView/ModuleId/1467/articleId/41112/Vietnam-and-Microsoft-To-Combat-Cybercrime.aspx
2. http://www.talkvietnam.com/2014/07/vietnam-germany-increase-crime-prevention-cooperation/
3. http://defense-update.com/20140615_cyber-intelligence-report-june-15-2014-2.html (search "Vietnam concerned about cyber security")</t>
  </si>
  <si>
    <t>1. http://www.afr.com/p/technology/microsoft_battles_cyber_attacks_XlzUCMEtE3iJBySssrwueI</t>
  </si>
  <si>
    <t>1. http://www.gulf-times.com/qatar/178/details/341898/ministry-planning-cyber-security-system-for-qatar
2. http://gulfnews.com/news/gulf/qatar/doha-conference-to-address-research-technologies-1.1240611</t>
  </si>
  <si>
    <t>http://www.lockheedmartin.com/us/who-we-are/global/saudi-arabia.html</t>
  </si>
  <si>
    <t>http://www.tra.gov.ae/news_Third_International_Conference_on_Cyber_Crimes_%22Procedural_Aspects%22-124-49.php
http://www.thenational.ae/uae/technology/abu-dhabi-business-seminar-highlights-need-for-public-awareness-of-cyber-crime</t>
  </si>
  <si>
    <t>1. http://www.investinbrussels.com/en/index.cfm/about-brussels/sectors/information-and-communication-technology-ict/
2. http://europa.eu/rapid/press-release_SPEECH-12-409_en.htm?locale=en</t>
  </si>
  <si>
    <t>http://ec.europa.eu/digital-agenda/en/07-security</t>
  </si>
  <si>
    <t>1. http://www.ambwashingtondc.esteri.it/Ambasciata_Washington/Archivio_News/cyber2014.htm
2. http://ec.europa.eu/digital-agenda/en/07-security</t>
  </si>
  <si>
    <t xml:space="preserve">https://www.ncsc.nl/english/current-topics/news/new-cyber-security-strategy-strengthens-cooperation-between-government-and-businesses.html
</t>
  </si>
  <si>
    <t>http://www.gp-digital.org/wp-content/uploads/pubs/FINAL%20-%20Deciphering%20Russia.pdf</t>
  </si>
  <si>
    <t>1. http://www.rediris.es/proyectos/fi-ware/index.html.en
2. http://www.rediris.es/proyectos/pasito/index.html.en
3. Page 32 - https://www.enisa.europa.eu/activities/Resilience-and-CIIP/national-cyber-security-strategies-ncsss/NCSS_ESen.pdf</t>
  </si>
  <si>
    <t>https://www.fox-it.com/en/press-releases/european-cyber-security-group-founded-to-combat-cybercrime/</t>
  </si>
  <si>
    <t>http://www.swissinfo.ch/ger/mit-den-besten-in-den-kampf-gegen-cybercrime/32392922</t>
  </si>
  <si>
    <t>http://www.coe.int/t/dghl/cooperation/economiccrime/cybercrime/cy%20project%20balkan/Default_IPA_en.asp</t>
  </si>
  <si>
    <t xml:space="preserve">1. https://www.gov.uk/government/policies/keeping-the-uk-safe-in-cyberspace/supporting-pages/setting-up-a-national-cyber-crime-unit
2. http://www.theguardian.com/media-network/media-network-blog/2013/mar/26/cybercrime-unit-security-threats
3. http://www.cityoflondon.police.uk/advice-and-support/fraud-and-economic-crime/nfib/nfib-news/Pages/social-engineering.aspx
</t>
  </si>
  <si>
    <t>1. http://www.csmonitor.com/World/Security-Watch/Cyber-Conflict-Monitor/2014/0325/With-new-Chinese-cyber-tools-Ethiopia-more-easily-spies-on-its-people
2. http://www.rmcysec.com/?page_id=668
3. http://www.csmonitor.com/World/Security-Watch/Cyber-Conflict-Monitor/2014/0325/With-new-Chinese-cyber-tools-Ethiopia-more-easily-spies-on-its-people</t>
  </si>
  <si>
    <t xml:space="preserve">1. http://www.google.com/url?sa=t&amp;rct=j&amp;q=&amp;esrc=s&amp;frm=1&amp;source=web&amp;cd=7&amp;cad=rja&amp;uact=8&amp;ved=0CEcQFjAG&amp;url=http%3A%2F%2Fwww.gov.za%2Fdocuments%2Fdownload.php%3Ff%3D127117&amp;ei=fmwAVP-KMeiAiwKHuIGYAQ&amp;usg=AFQjCNFnOEf17P0_sURkpOJK_H6ZhsG1TQ&amp;sig2=SYK35308bRTFxUrWvFPEfA
</t>
  </si>
  <si>
    <t xml:space="preserve">1. http://www.pwc.com.br/pt/publicacoes/assets/pesquisa-crimes-digitais-11-ingles.pdf
2. http://www.forbes.com/sites/ricardogeromel/2012/03/02/hackers-stole-1billion-in-brazil-the-worst-prepared-nation-to-adopt-cloud-technology
3. http://www.trendmicro.com/cloud-content/us/pdfs/security-intelligence/white-papers/wp-brazil.pdf
4. http://dialogo-americas.com/en_GB/articles/saii/features/society/2009/12/28/feature-03
</t>
  </si>
  <si>
    <t>1. http://www.wsws.org/en/articles/2013/06/25/infr-j25.html
2. http://www.thecrimereport.org/news/inside-criminal-justice/2011-02-techno-crimefighting (Search: "Cyber Crimes")
3. http://warriorpublications.wordpress.com/2013/12/10/police-surveillance-and-tracking-of-your-cell-phone/
4. http://www.policeforum.org/assets/docs/Critical_Issues_Series_2/the%20role%20of%20local%20law%20enforcement%20agencies%20in%20preventing%20and%20investigating%20cybercrime%202014.pdf</t>
  </si>
  <si>
    <t>1. http://www.rcmp-grc.gc.ca/gazette/vol74n2/newtech-nouvelletech-eng.htm</t>
  </si>
  <si>
    <t>http://portal.jupiter.com/newstitle.php?id=438</t>
  </si>
  <si>
    <t>1. http://dialogo-americas.com/en_GB/articles/rmisa/features/regional_news/2014/03/16/peru-crimen-organizado</t>
  </si>
  <si>
    <t>1. https://www.police.nsw.gov.au/__data/assets/pdf_file/0014/212801/2011-11-03_-Minister_Gallacher_Media_Release_-_NEW_FRAUD_AND_CYBERCRIME_SQUAD_LAUNCHED.pdf
2. http://www.afp.gov.au/policing/cybercrime/digital-forensics.aspx</t>
  </si>
  <si>
    <t>http://www.afp.gov.au/policing/cybercrime/digital-forensics.aspx</t>
  </si>
  <si>
    <t>1. http://www.digital21.gov.hk/eng/D21SAC/attachments/D21SAC_paper_9-2011.pdf (Page 5)
2. http://www.police.gov.hk/ppp_en/04_crime_matters/tcd/</t>
  </si>
  <si>
    <t xml:space="preserve">1. http://freebeacon.com/national-security/chinese-police-university-trains-beijing-hackers/
2. http://www2.gwu.edu/~nsarchiv/NSAEBB/NSAEBB424/docs/Cyber-079.pdf (Pages 5, 6 and 8)
</t>
  </si>
  <si>
    <t>1. http://www.hindustantimes.com/india-news/mumbai/mumbai-police-help-crack-cyber-crimes-no-longer-averse-to-tech/article1-887385.aspx
2. http://m.tech.firstpost.com/news-analysis/mumbai-police-launch-cyber-safety-initiative-3082.html
3. http://www.dnaindia.com/mumbai/report-talash-police-can-now-track-culprits-with-ease-1795605
4. http://www.sify.com/news/delhi-to-join-cyber-police-network-to-curb-crime-news-others-oidqumeagihic.html</t>
  </si>
  <si>
    <t>1. http://www.thehindu.com/news/cities/Delhi/delhi-police-gets-cyber-lab-to-deal-with-online-fraud/article6274371.ece
2. http://timesofindia.indiatimes.com/city/delhi/Hi-tech-lab-to-help-cops-in-fight-against-cybercrime/articleshow/39513486.cms
3. http://www.hclinfotech.in/news_alert/hcl-equips-delhi-police-with-technology-to-fight-crime/
4. http://www.dailymail.co.uk/indiahome/indianews/article-2421194/Delhi-police-stay-step-ahead-criminals-using-digital-technology.html
5. http://www.sify.com/news/delhi-to-join-cyber-police-network-to-curb-crime-news-others-oidqumeagihic.html</t>
  </si>
  <si>
    <t>1. http://www.theage.com.au/world/cybercrime-crackdown-20130713-2px1v.html
2. http://www.antaranews.com/en/news/88646/jakarta-police-has-cyber-crime-investigation-satellite</t>
  </si>
  <si>
    <t>http://www.tasnimnews.com/English/Home/Single/444021
http://surveillance.rsf.org/en/iran/</t>
  </si>
  <si>
    <t>1. http://www.trendmicro.co.jp/jp/why-trendmicro/index.html?cm_sp=GNav-_-WhyTM-_-top
2. http://computer.financialexpress.com/news/trend-micro-helps-tokyo-police-crack-down-online-banking-fraud/</t>
  </si>
  <si>
    <t>http://www.itu.int/wsis/stocktaking/scripts/documents.asp?project=1103282262</t>
  </si>
  <si>
    <t>http://www.computerweekly.com/news/2240209115/Microsoft-unveils-state-of-the-art-Cybercrime-Center  
http://www.zdnet.com/interpol-presence-strategic-to-singapore-cybercrime-purge-2062301423/   http://www.kpmg.com/sg/en/topics/cyber-security-centre/pages/default.aspx</t>
  </si>
  <si>
    <t>http://www.muscatdaily.com/Archive/Oman/Korean-firm-says-its-technology-can-help-police-fight-cybercrime-training-on-in-Oman-33l7
http://www.ctwatch.org/quarterly/articles/2006/02/construction-and-utilization-of-the-cyberinfrastructure-in-korea/2/index.html
http://www.unafei.or.jp/english/pdf/RS_No79/No79_09VE_Jang2.pdf</t>
  </si>
  <si>
    <t>1. http://www.ares.com.tw/en/best-practice/29
2. http://web.iii.org.tw/About/department_ctti</t>
  </si>
  <si>
    <t>1. http://www.hikvision.com/en/us/SuccessStory_list_more.asp?id=510</t>
  </si>
  <si>
    <t>Not Available</t>
  </si>
  <si>
    <t>1. http://www.sectechno.com/2009/05/28/kuwait-interpol-fight-cybercrime/
2. http://www.arabtimesonline.com/NewsDetails/tabid/96/smid/414/ArticleID/209044/reftab/68/t/Al-Sanei-crafts-bill-to-combat-cyber-crime/Default.aspx
3. http://www.spyghana.com/kuwait-strategies-fight-cybercrime/</t>
  </si>
  <si>
    <t>http://www.arabnews.com/online-blackmail-main-cyber-crime</t>
  </si>
  <si>
    <t>http://12mars.rsf.org/2014-en/2014/03/11/united-arab-emirates-tracking-cyber-criminals/
http://uaecyber.com/cyber-safety-help/
http://www.itp.net/598579-dubai-sets-up-e-security-centre-to-fight-cyber-criminals</t>
  </si>
  <si>
    <t>1. http://europa.eu/rapid/press-release_SPEECH-12-409_en.htm?locale=en
2. http://www.kuleuven.be/english/news/cybercrime.html
3. http://www.linklaters.com/Publications/Publication1403Newsletter/PublicationIssue20070324/Pages/PublicationIssueItem2216.aspx</t>
  </si>
  <si>
    <t>http://www.aconite.com/partners/france</t>
  </si>
  <si>
    <t>http://www.dw.de/cybercrime-in-germany-on-the-rise/a-5981669
http://www.dw.de/both-criminals-and-police-are-using-the-internet/a-16616770</t>
  </si>
  <si>
    <t>http://online.wsj.com/articles/SB124632958157771629</t>
  </si>
  <si>
    <t>1. https://www.alertonline.nl/
2. https://www.google.co.in/url?url=https://english.nctv.nl/Images/cybersecurityassessmentnetherlands_tcm92-520108.pdf&amp;rct=j&amp;frm=1&amp;q=&amp;esrc=s&amp;sa=U&amp;ei=3x4EVLb8PIe9igLXiYHwBA&amp;ved=0CBwQFjAA&amp;usg=AFQjCNFfqZdUq8SPGYHbLoSef2py7KpodA
3. www.spamklacht.nl</t>
  </si>
  <si>
    <t>http://www.criticalthreats.org/russia/russia-and-cyber-threat
http://securityaffairs.co/wordpress/18475/cyber-crime/2013-norton-report.html</t>
  </si>
  <si>
    <t>1. http://www.csmonitor.com/World/Europe/2013/0520/In-global-fight-against-cybercrime-Spain-becomes-a-front-line
2. http://www.rediris.es/actividades/abuses/
3. http://www.rediris.es/servicios/seguridad/iris-cert/index.html.en
4. Page 29. https://www.enisa.europa.eu/activities/Resilience-and-CIIP/national-cyber-security-strategies-ncsss/NCSS_ESen.pdf</t>
  </si>
  <si>
    <t>http://www.techweekeurope.co.uk/news/spanish-police-dismantles-largest-and-most-complex-ransomware-ring-107499</t>
  </si>
  <si>
    <t>http://books.google.co.in/books?id=reZLoNfC4DcC&amp;pg=PA283&amp;lpg=PA283&amp;dq=turkey+%2B+police+%2B+technology+%2B+cyber+crime&amp;source=bl&amp;ots=CBIolHYPEa&amp;sig=AHZx5F1dnu7YukG1VzygZNMrjFc&amp;hl=en&amp;sa=X&amp;ei=R2oFVK66OuGligKMrYGICQ&amp;redir_esc=y#v=onepage&amp;q=turkey%20%2B%20police%20%2B%20technology%20%2B%20cyber%20crime&amp;f=false</t>
  </si>
  <si>
    <t>http://www.cityoflondon.police.uk/advice-and-support/fraud-and-economic-crime/pipcu/pipcu-news/Pages/City-of-London-Police-call-for-help-tackle-cyber-crime.aspx
http://www.scmagazineuk.com/city-of-london-police-to-get-cybercrime-training/article/367350/</t>
  </si>
  <si>
    <t>http://www.itu.int/en/ITU-D/Cybersecurity/Pages/CIRTassessmentSwazilandLiberiaZimbabwe.aspx</t>
  </si>
  <si>
    <t>1. http://www.ssa.gov.za/CSIRT.aspx
2. http://www.issafrica.org/iss-today/south-africa-must-pay-more-attention-to-cybercrime
3. http://www.wolfpackrisk.com/wp-content/uploads/2012/10/SA%202012%20Cyber%20Threat%20Barometer_Medium_res.pdf
4. http://cybercrime.org.za/docs/Advisory_on_Reporting_Cybercrimes_April_2013.pdf</t>
  </si>
  <si>
    <t>http://igarape.org.br/wp-content/themes/igarape_v2/pdf/Strategic%20Paper%202%20(June%202012).pdf
http://www.fosigrid.org/south-america/argentina</t>
  </si>
  <si>
    <t>1. http://www.cert.br/docs/palestras/certbr-itu-americas2005.pdf
2. http://www.childprotectionpartnership.org/partners/brazil/federal-prosecutors-office-s-o-paulo-s-group-combat-cyber-crime
3. http://www.unidir.org/files/publications/pdfs/cyber-index-2013-en-463.pdf (Pg.26)
4. https://www.itu.int/osg/csd/cybersecurity/WSIS/3rd_meeting_docs/HFAULHABER%20Session_5_Henrique_Faulhaber_version%20b.pdf (Pg. 8)
5. http://www.trendmicro.com/cloud-content/us/pdfs/security-intelligence/white-papers/wp-brazil.pdf
6. http://igarape.org.br/wp-content/themes/igarape_v2/pdf/Strategic%20Paper%202%20(June%202012).pdf</t>
  </si>
  <si>
    <t>1. http://www.fbi.gov/losangeles/about-us/our-partnerships/partners
2. http://www.secretservice.gov/ectf_losangeles.shtml
3. http://www.fbi.gov/news/stories/2008/march/cybergroup_031708
4. http://www.fbi.gov/about-us/investigate/cyber/ncijtf
5. http://www.fbi.gov/about-us/investigate/cyber/</t>
  </si>
  <si>
    <t>1. http://www.bayareacouncil.org/cybersecurity/bay-area-council-advocates-for-cyber-security-legislation/
2. http://www.ccpe.csulb.edu/splash/realstudents/linda.html
3. http://www.fbi.gov/sanfrancisco/news-and-outreach/in-your-community/outreach
4. https://www.infragard.org/3DeTzDprp4qSUrSlI2Zgel4IwJU2bt9VcAF1NQ20%2525252BlI%2525253D%21
5. https://www.identitytheftcouncil.org/About-Us/launch-of-the-san-francisco-identity-theft-council.html</t>
  </si>
  <si>
    <t>1. http://www.torontopolice.on.ca/modules.php?op=modload&amp;name=News&amp;file=article&amp;sid=5940
2. http://www.rcmp-grc.gc.ca/qc/services/gict-itcu/accueil-gict-itcu-home-eng.htm
3. https://www.antifraudcentre-centreantifraude.ca/english/stopit_faq.html#investigate
4. http://cloudscorecard.bsa.org/2013/assets/PDFs/country_reports/Country_Report_Canada.pdf (Pg. 1)
5. http://www.publicsafety.gc.ca/cnt/rsrcs/pblctns/rslnc-gnst-trrrsm/index-eng.aspx (under heading "programs and activities"; sub heading "collection")</t>
  </si>
  <si>
    <t>1. http://www.rcmp-grc.gc.ca/qc/services/gict-itcu/accueil-gict-itcu-home-eng.htm
2. https://www.antifraudcentre-centreantifraude.ca/english/stopit_faq.html#investigate
3. http://cloudscorecard.bsa.org/2013/assets/PDFs/country_reports/Country_Report_Canada.pdf (Pg. 1)
4. http://www.publicsafety.gc.ca/cnt/rsrcs/pblctns/rslnc-gnst-trrrsm/index-eng.aspx (under heading "programs and activities"; sub heading "collection")</t>
  </si>
  <si>
    <t>1. http://www.justice.gov/nsd
2. http://www.secretservice.gov/ectf_chicago.shtml
3. http://www.fbi.gov/about-us/investigate/cyber</t>
  </si>
  <si>
    <t>1. http://igarape.org.br/wp-content/themes/igarape_v2/pdf/Strategic%20Paper%202%20(June%202012).pdf (Pg. 14)
2. http://www.first.org/members/teams/cert-mx
3. http://igarape.org.br/wp-content/themes/igarape_v2/pdf/Strategic%20Paper%202%20(June%202012).pdf (Pg. 16)
4. http://www.symantec.com/content/en/us/enterprise/other_resources/b-cyber-security-trends-report-lamc.pdf (Pg. 64)
5. http://indian.ruvr.ru/2013_04_04/Mexico-cyber-police/</t>
  </si>
  <si>
    <t>http://igarape.org.br/wp-content/themes/igarape_v2/pdf/Strategic%20Paper%202%20(June%202012).pdf</t>
  </si>
  <si>
    <t>1. http://dialogo-americas.com/en_GB/articles/saii/features/main/2012/04/13/feature-01
2. http://santiagotimes.cl/chile-police-arrest-hackers/</t>
  </si>
  <si>
    <t>1. http://www.scmagazine.com/nypd-fbi-mta-create-joint-cyber-crime-task-force/article/357633/
2. http://www.justice.gov/nsd/about-division-0
3. http://nytrooper.com/ccu.cfm
4. http://www.troopers.ny.gov/Criminal_Investigation/Computer_Crimes/Cyber_Terrorism_Unit/
5. http://www.fbi.gov/about-us/investigate/cyber</t>
  </si>
  <si>
    <t>1. http://www.afp.gov.au/policing/cybercrime/virtual-global-taskforce.aspx
2. http://www.afp.gov.au/policing/cybercrime/crime-prevention.aspx
3. http://www.scamwatch.gov.au/content/index.phtml/itemId/725675
4. PDF 2013 security survey and facts - https://www.cert.gov.au/newsroom
5. http://www.victimsa.org/files/cybercrime-report-2014.pdf
6. http://www.ag.gov.au/CrimeAndCorruption/Cybercrime/Pages/default.aspx
7. http://www.police.nsw.gov.au/community_issues/children/5000_dollar_reward_for_reports_of_sexual_exploitation_of_children
8. http://www.ag.gov.au/CrimeAndCorruption/Cybercrime/Pages/default.aspx</t>
  </si>
  <si>
    <t>2. http://www.afp.gov.au/policing/cybercrime/virtual-global-taskforce.aspx
3. http://www.afp.gov.au/policing/cybercrime/crime-prevention.aspx
4. http://www.scamwatch.gov.au/content/index.phtml/itemId/725675
5. PDF 2013 security survey and facts - https://www.cert.gov.au/newsroom
6. http://www.victimsa.org/files/cybercrime-report-2014.pdf
7. http://www.ag.gov.au/CrimeAndCorruption/Cybercrime/Pages/default.aspx</t>
  </si>
  <si>
    <t>http://www.digital21.gov.hk/eng/D21SAC/attachments/D21SAC_paper_9-2011.pdf (page5)</t>
  </si>
  <si>
    <t>1. http://cs.stanford.edu/people/eroberts/cs201/projects/2010-11/FreedomOfInformationChina/the-great-firewall-of-china-background/index.html
2. http://www.chinadaily.com.cn/china/2014-04/19/content_17447912_2.htm (refer to heading "cyber army")</t>
  </si>
  <si>
    <t>1. http://cs.stanford.edu/people/eroberts/cs201/projects/2010-11/FreedomOfInformationChina/the-great-firewall-of-china-background/index.html
2. http://www.chinadaily.com.cn/china/2014-04/19/content_17447912_2.htm (refer to heading "cyber army")
3. http://english.people.com.cn/90001/90776/90882/7258723.html</t>
  </si>
  <si>
    <t>1. http://cybercellmumbai.gov.in/
2. http://cyberforensicsindia.blogspot.in/2009/04/mumbai-to-get-its-first-cyber-crime.html
3. http://cybercrime.planetindia.net/cybercrime_cell.htm
4. http://atip.org/atip-publications/atip-reports/2008/6202-atip08-015-cyber-security-in-india.html (under heading "Indian Computer Emergency Response Team (CERT–In)")</t>
  </si>
  <si>
    <t>1. http://cybercrime.planetindia.net/cybercrime_cell.htm
2. http://atip.org/atip-publications/atip-reports/2008/6202-atip08-015-cyber-security-in-india.html (under heading "Indian Computer Emergency Response Team (CERT–In)")</t>
  </si>
  <si>
    <t>1. http://www.nisc.go.jp/security-site/campaign/ajsympo/pdf/lecture2.pdf (Page 13, 14)</t>
  </si>
  <si>
    <t>http://cyber.police.ir/?siteid=46&amp;pageid=1675&amp;newsview=3514</t>
  </si>
  <si>
    <t>http://www.keishicho.metro.tokyo.jp/foreign/graph2011/05_syakai.htm</t>
  </si>
  <si>
    <t>1. http://www.zdnet.com/japan-to-set-up-cyberdefense-unit-by-2013-7000003941/
2. http://www.nisc.go.jp/active/kihon/pdf/cybersecuritystrategy-en.pdf</t>
  </si>
  <si>
    <t>http://www.cert.org/incident-management/national-csirts/national-csirts.cfm?</t>
  </si>
  <si>
    <t>1. http://thenextweb.com/asia/2013/04/02/south-korean-government-beefs-up-online-security-with-dedicated-cyber-policy-department/
2. http://www.unafei.or.jp/english/pdf/RS_No79/No79_09VE_Jang2.pdf</t>
  </si>
  <si>
    <t>http://www.gbd-e.org/ig/cs/CyberSecurityRecommendation_Nov06.pdf</t>
  </si>
  <si>
    <t>1. http://www.channelnewsasia.com/news/asiapacific/thai-cyber-police-step-up/1161658.html
2. http://www.iipa.com/rbc/2011/2011SPEC301THAILAND.pdf (Page 1 - Executive Summary)</t>
  </si>
  <si>
    <t>1. http://www.vncert.gov.vn/en/</t>
  </si>
  <si>
    <t xml:space="preserve">1. https://www.cait.gov.kw/About-Us/Amiri-Decree.aspx
2. http://www.google.com/url?sa=t&amp;rct=j&amp;q=&amp;esrc=s&amp;frm=1&amp;source=web&amp;cd=2&amp;cad=rja&amp;uact=8&amp;ved=0CCQQFjAB&amp;url=http%3A%2F%2Fwww.itu.int%2FITU-D%2FCDS%2Fgq%2Fgeneric%2Fasp-reference%2Ffile_download.asp%3FFileID%3D568&amp;ei=-MgFVIT7BMrq8AXv6ICoBg&amp;usg=AFQjCNFBOJembrDFeYiB15oZ4IXwbz5QMg&amp;bvm=bv.74115972,d.dGc
3. http://www.escwa.un.org/wsis/reports/docs/Kuwait-2013-En.pdf (Pg. 14)
</t>
  </si>
  <si>
    <t>1. http://www.qcert.org/about-q-cert
2. http://dwaa80npcw0ml.cloudfront.net/app/media/3209</t>
  </si>
  <si>
    <t>1. http://www.citc.gov.sa/English/AboutUs/AreasOfwork/Pages/SecurityAwareness.aspx
2. http://www.cces-kacst-mit.org/project/cyber-security-initiative</t>
  </si>
  <si>
    <t>http://12mars.rsf.org/2014-en/2014/03/11/united-arab-emirates-tracking-cyber-criminals/</t>
  </si>
  <si>
    <t>1. https://www.ecops.be/webforms/Default.aspx?Lang=EN
2. http://www.dailysabah.com/europe/2014/05/04/europes-cyber-security-policy-settings-under-attack
3. http://www.xpats.com/belgium-commits-extra-cash-fight-against-cybercrime
4. http://www.coe.int/t/dlapil/codexter/Source/cyberterrorism/Belgium.pdf (refer page 1)
5. http://www.bbc.com/news/technology-20962355</t>
  </si>
  <si>
    <t>1. http://www.lexsi.fr/societe/bureaux.html
2. http://www.strategicdefenceintelligence.com/article/QrT8UvBm9fw/2011/10/21/comment_cassidian_discusses_its_cybersecurity_business/
3. http://www.diplomatie.gouv.fr/en/french-foreign-policy-1/defence-security/cyber-security/
4.https://www.securityforum.at/the-perpetration-and-prevention-of-cybercrimes/
5. http://www.prefecturedepolice.interieur.gouv.fr/
6. http://www.cybercrime-fr.org/index.pl/qui_sommes_nous2
7. http://www.epractice.eu/files/France%20Country%20Report.pdf</t>
  </si>
  <si>
    <t xml:space="preserve">1. http://www.cert.org/incident-management/index.cfm
2. https://www.securityforum.at/the-perpetration-and-prevention-of-cybercrimes/
</t>
  </si>
  <si>
    <t>1. https://cyberdefcon.com/?p=risk-assessments
2. http://www.sicurezzanazionale.gov.it/sisr.nsf/wp-content/uploads/2014/02/italian-national-strategic-framework-for-cyberspace-security.pdf (refer page -32)
3. http://www.sicurezzanazionale.gov.it/sisr.nsf/wp-content/uploads/2014/02/italian-national-strategic-framework-for-cyberspace-security.pdf (refer page 42)
4. http://www.computerworld.com/s/article/9218631/Anonymous_hacks_Italy_s_cybercrime_police</t>
  </si>
  <si>
    <t>1. https://cyberdefcon.com/?p=risk-assessments
2. http://www.sicurezzanazionale.gov.it/sisr.nsf/wp-content/uploads/2014/02/italian-national-strategic-framework-for-cyberspace-security.pdf (refer page -32)
3. http://www.sicurezzanazionale.gov.it/sisr.nsf/wp-content/uploads/2014/02/italian-national-strategic-framework-for-cyberspace-security.pdf (refer page 42)
4. http://www.computerworld.com/s/article/9218631/Anonymous_hacks_Italy_s_cybercrime_police
5. http://www.linkedin.com/in/costabile</t>
  </si>
  <si>
    <t xml:space="preserve">1. https://www.google.co.in/url?url=https://english.nctv.nl/Images/cybersecurityassessmentnetherlands_tcm92-520108.pdf&amp;rct=j&amp;frm=1&amp;q=&amp;esrc=s&amp;sa=U&amp;ei=3x4EVLb8PIe9igLXiYHwBA&amp;ved=0CBwQFjAA&amp;usg=AFQjCNFfqZdUq8SPGYHbLoSef2py7KpodA
2. Link for PDF at the end: https://www.ncsc.nl/english/current-topics/news/new-cyber-security-strategy-strengthens-cooperation-between-government-and-businesses.html
</t>
  </si>
  <si>
    <t>1. http://www.rediris.es/actividades/abuses/
2. https://www.ccn-cert.cni.es/index.php?option=com_content&amp;view=article&amp;id=2414&amp;Itemid=204&amp;lang=en
3. http://escert.upc.edu/
4. Page 24 - http://www.ismsforum.es/ficheros/descargas/a-national-cyber-security-strategy-.pdf</t>
  </si>
  <si>
    <t>https://www.ccn-cert.cni.es/index.php?option=com_content&amp;view=article&amp;id=12&amp;Itemid=32&amp;lang=en</t>
  </si>
  <si>
    <t>http://www.switch.ch/security/</t>
  </si>
  <si>
    <t>https://www.google.com/url?sa=t&amp;rct=j&amp;q=&amp;esrc=s&amp;frm=1&amp;source=web&amp;cd=10&amp;cad=rja&amp;uact=8&amp;ved=0CFQQFjAJ&amp;url=https%3A%2F%2Fwww.bilgiguvenligi.gov.tr%2Fdokuman-yukle%2Fraporlar%2Fusgt-2011-en%2Fdownload.html&amp;ei=T3AFVNWNHYW4igK734CIBg&amp;usg=AFQjCNGFDC7fbxKDOW8yoQ6NXWE0RAsQDg&amp;sig2=ddfTkx27yZrAPQs6clhfQg&amp;bvm=bv.74115972,d.cGU</t>
  </si>
  <si>
    <t>1. http://www.met.police.uk/docs/cyber-crime.pdf
2. http://content.met.police.uk/Site/scospececoncrime
3. http://www.bbc.com/news/technology-26818747</t>
  </si>
  <si>
    <t>http://www.indexmundi.com/ethiopia/demographics_profile.html</t>
  </si>
  <si>
    <t>http://beta2.statssa.gov.za/?page_id=1021&amp;id=city-of-johannesburg-municipality</t>
  </si>
  <si>
    <t>1. http://worldpopulationreview.com/world-cities/buenos-aires-population/
2. http://www.europaworld.com/pub/entry/ar.ss.2</t>
  </si>
  <si>
    <t>http://www.worldpopulationstatistics.com/sao-paulo-population-2013/</t>
  </si>
  <si>
    <t>http://worldpopulationreview.com/world-cities/rio-de-janeiro-population/</t>
  </si>
  <si>
    <t>http://www.city-data.com/city/San-Francisco-California.html</t>
  </si>
  <si>
    <t>1. http://www1.toronto.ca/wps/portal/contentonly?vgnextoid=57a12cc817453410VgnVCM10000071d60f89RCRD
2. http://www.huffingtonpost.ca/2013/03/05/largest-cities-north-america-toronto-chicago_n_2815578.html</t>
  </si>
  <si>
    <t>http://www.worldpopulationstatistics.com/montreal-population/</t>
  </si>
  <si>
    <t>1. http://www.worldpopulationstatistics.com/chicago-population-2013/
2. http://www.techscio.com/the-richest-city-in-the-world/</t>
  </si>
  <si>
    <t>http://edition.cnn.com/2014/05/01/travel/mexico-city-things-to-know/</t>
  </si>
  <si>
    <t>http://www.limaeasy.com/lima-info/important-facts-and-figures-about-lima#people</t>
  </si>
  <si>
    <t>http://www.cascada.travel/About/Santiago-de-Chile-Cosmopolitan-Metropolis</t>
  </si>
  <si>
    <t>1. http://www.worldpopulationstatistics.com/population-of-new-york-city-2013/
2. http://www.techscio.com/the-richest-city-in-the-world/</t>
  </si>
  <si>
    <t>http://www.worldpopulationstatistics.com/washington-state-population-2013/</t>
  </si>
  <si>
    <t>http://www.abs.gov.au/ausstats/abs@.nsf/featurearticlesbytitle/AC53A071B4B231A6CA257CAE000ECCE5?OpenDocument</t>
  </si>
  <si>
    <t>http://www.washingtonpost.com/blogs/worldviews/wp/2014/06/19/beijing-has-almost-the-same-population-as-these-countries/</t>
  </si>
  <si>
    <t>http://www.chinadaily.com.cn/china/2014-02/27/content_17311272.htm</t>
  </si>
  <si>
    <t>http://english.sz.gov.cn/gi/</t>
  </si>
  <si>
    <t>http://www.guangzhou.chn.info/overview/guangzhou-population.html</t>
  </si>
  <si>
    <t>http://www.tj.gov.cn/english/About_tianjin/Tianjin_Basic_Facts/Population_and_Nationalities/</t>
  </si>
  <si>
    <t>http://www.hindustantimes.com/india-news/newdelhi/delhi-becomes-world-s-second-most-populous-city-mumbai-ranks-sixth/article1-1239165.aspx</t>
  </si>
  <si>
    <t>http://www.tradexpoindonesia.com/jakarta-facts</t>
  </si>
  <si>
    <t>http://www.worldcapitalinstitute.org/makciplatform/2013-tehran-iran</t>
  </si>
  <si>
    <t>http://www.techscio.com/the-richest-city-in-the-world/</t>
  </si>
  <si>
    <t>http://www.worldpopulationstatistics.com/osaka-population-2013/</t>
  </si>
  <si>
    <t>http://www.nationsonline.org/oneworld/singapore.htm</t>
  </si>
  <si>
    <t>http://www.korea.net/AboutKorea/Korea-at-a-Glance/Facts-about-Korea</t>
  </si>
  <si>
    <t>1. http://www.chinahighlights.com/taiwan/taipei-facts.htm
2. https://www.dfat.gov.au/geo/fs/taiw.pdf</t>
  </si>
  <si>
    <t>http://www.fip.org/bangkok2014/Bangkok-Bangkok,-Thailand/2057/Bangkok_General_Information/</t>
  </si>
  <si>
    <t>http://www.vietnam-briefing.com/news/hcm-city-sees-economy-improve.html/</t>
  </si>
  <si>
    <t>http://www.internetworldstats.com/middle.htm</t>
  </si>
  <si>
    <t>http://www.nationsonline.org/oneworld/map/google_map_Doha.htm</t>
  </si>
  <si>
    <t>http://www.radmed.org/aboutriyadh2014.php</t>
  </si>
  <si>
    <t>http://gulfnews.com/news/gulf/uae/general/abu-dhabi-population-tops-2-5m-in-2013-1.1184986</t>
  </si>
  <si>
    <t>http://www.turas-cities.org/urban_regions/Brussels/en</t>
  </si>
  <si>
    <t>1. http://about-france.com/tourism/main-towns-cities.htm
2. http://www.techscio.com/the-richest-city-in-the-world/</t>
  </si>
  <si>
    <t>http://www.frankfurt-main-finance.de/en/financial-centre/data/facts-and-figures/</t>
  </si>
  <si>
    <t>http://worldpopulationreview.com/world-cities/rome-population/</t>
  </si>
  <si>
    <t>http://www.aboutmilan.com/the-city-of-milan.html</t>
  </si>
  <si>
    <t>http://www.amsterdam.info/basics/</t>
  </si>
  <si>
    <t>http://www.worldatlas.com/webimage/countrys/europe/spain/esfacts.htm</t>
  </si>
  <si>
    <t>http://www.donquijote.org/travel/guides/barcelona/</t>
  </si>
  <si>
    <t>https://www.stadt-zuerich.ch/portal/en/index/portraet_der_stadt_zuerich/zahlen_u_fakten.html</t>
  </si>
  <si>
    <t>http://www.istanbul2014.org/pages/istanbul.php</t>
  </si>
  <si>
    <t>1. http://www.theguardian.com/commentisfree/2014/jun/27/london-population-booming-new-york-tokyo
2. http://www.techscio.com/the-richest-city-in-the-world/</t>
  </si>
  <si>
    <t>http://www.google.com/url?url=http://www.mckinsey.com/~/media/McKinsey/dotcom/Insights/High%2520Tech%2520Internet/Lions%2520go%2520digital/MGI_Lions_go_digital_Full_report_Nov2013.ashx&amp;rct=j&amp;frm=1&amp;q=&amp;esrc=s&amp;sa=U&amp;ei=xnYQVMnMFpalyAS25IG4Dw&amp;ved=0CD4QFjAHOBQ&amp;sig2=DRqCp_Pwf3u63A-7cr1QbQ&amp;usg=AFQjCNG0gHoEGhGR1-OeaD4C1eJdYzvchQ</t>
  </si>
  <si>
    <t>1. http://www.internetsociety.org/map/global-internet-report/?gclid=Cj0KEQjwm6CgBRC0zOmrydrqmosBEiQA_xoLRsvOLR-JBw-KPI4V7iIrtv0CfNsGZGHvp-X_lmZfCOYaAmyl8P8HAQ
2. http://reymondhernandez.me/tag/internet/
3. http://www.cnc.gov.ar/ciudadanos/internet/evolucion.asp</t>
  </si>
  <si>
    <t>1. https://a4ai.org/wp-content/uploads/2014/08/A4AI-Case-Study-Brazil-FINAL_US.pdf (Page 7)</t>
  </si>
  <si>
    <t>https://a4ai.org/wp-content/uploads/2014/08/A4AI-Case-Study-Brazil-FINAL_US.pdf</t>
  </si>
  <si>
    <t>1. http://www.thebusinessjournal.com/en/news/technology/6680-report-central-valley-lags-in-broadband-mobile-internet</t>
  </si>
  <si>
    <t>http://www.thebusinessjournal.com/en/news/technology/6680-report-central-valley-lags-in-broadband-mobile-internet</t>
  </si>
  <si>
    <t>1. http://in.norton.com/cybercrimereport
2. http://www.worldpopulationstatistics.com//?s=canada
3. http://www.worldpopulationstatistics.com//?s=toronto
4. http://www.internetworldstats.com/am/ca.htm
5. http://www2.canada.com/aboutus/advertising/citydots_pages/cp_toronto.html</t>
  </si>
  <si>
    <t>1. http://in.norton.com/cybercrimereport
2. http://www.worldpopulationstatistics.com//?s=canada
3. http://www.worldpopulationstatistics.com//?s=montreal
4. http://www.internetworldstats.com/am/ca.htm
2. http://www.intelligentcommunity.org/index.php?src=news&amp;refno=1096&amp;category=Community&amp;prid=1096</t>
  </si>
  <si>
    <t>1. http://www.cityofchicago.org/dam/city/depts/doit/supp_info/DEI/Digital_Excellence_Study_2009.pdf (Page 5)</t>
  </si>
  <si>
    <t>http://www.internetlivestats.com/internet-users-by-country/
http://www.freedomhouse.org/report/freedom-net/2012/mexico#_ftn3</t>
  </si>
  <si>
    <t>1. http://www.bnamericas.com/news/technology/Lima_Internet_Penetration_Reaches_Only_7,2*</t>
  </si>
  <si>
    <t>http://worldpopulationreview.com/countries/chile-population/</t>
  </si>
  <si>
    <t>http://www.dougwilliams.com/us-internet-usage-statistics-by-state/</t>
  </si>
  <si>
    <t>http://profile.id.com.au/australia/internet-connection?WebID=260</t>
  </si>
  <si>
    <t>http://www.statistics.gov.hk/pub/B71305FA2013XXXXB0100.pdf</t>
  </si>
  <si>
    <t>http://www1.cnnic.cn/IDR/ReportDownloads/201302/P020130221391269963814.pdf (Page 22)</t>
  </si>
  <si>
    <t>http://www.imrbint.com/downloads/Report-BB55685%20IAMAI%20ICUBE_2013-Urban+Rural-C1.pdf (Page 8)</t>
  </si>
  <si>
    <t>1. http://telecomtalk.info/mumbai-emerged-as-the-city-with-highest-internet-penetration-in-india-kolkata-clocks-highest-growth/110437/
2. http://www.worldpopulationstatistics.com/delhi-population-2013/</t>
  </si>
  <si>
    <t>1. http://www.apjii.or.id/v2/upload/Laporan/Profile%20of%20Indonesian%20Internet%20Users%202012%20(ENGLISH).pdf (Page 30)</t>
  </si>
  <si>
    <t>http://surveillance.rsf.org/en/iran/</t>
  </si>
  <si>
    <t>1. http://www.internetsociety.org/map/global-internet-report/?gclid=Cj0KEQjwjtGfBRCN4-LU9ODG1-wBEiQAy_Xp78N1mBIqdbAvyzJ3zAUtotYLPk-VaZd0Brpgj20hr8QaAvNp8P8HAQ</t>
  </si>
  <si>
    <t>http://www.internetlivestats.com/internet-users-by-country/</t>
  </si>
  <si>
    <t>http://e27.co/southeast-asia-25-internet-penetration-109-mobile-penetration/</t>
  </si>
  <si>
    <t xml:space="preserve">http://isis.kisa.or.kr/eng/board/index.jsp?pageId=040100&amp;bbsId=10&amp;itemId=326&amp;pageIndex=1
http://isis.kisa.or.kr/eng/
</t>
  </si>
  <si>
    <t>http://www.internetworldstats.com/top25.htm</t>
  </si>
  <si>
    <t>1. http://www.interlab.ait.ac.th/aintec08/presentations/NTL-NECTEC.pdf (Page 3 for population and Page 16 for internet users)</t>
  </si>
  <si>
    <t>http://www.fosigrid.org/asia/vietnam</t>
  </si>
  <si>
    <t>http://www.internetworldstats.com/me/kw.htm</t>
  </si>
  <si>
    <t>http://www.ictqatar.qa/en/documents/download/Qatar_s_Digital_Media_Landscape_2011.pdf (Pg. 6)</t>
  </si>
  <si>
    <t>http://www.freedomhouse.org/report/freedom-net/2013/saudi-arabia</t>
  </si>
  <si>
    <t>1. http://gulfnews.com/news/gulf/uae/general/abu-dhabi-s-population-at-2-33m-with-475-000-emiratis-1.1240863</t>
  </si>
  <si>
    <t>1. http://www.internetworldstats.com/europa.htm
2. http://www.internetworldstats.com/eu/be.htm</t>
  </si>
  <si>
    <t>http://www.google.com/url?url=http://www.itu.int/en/ITU-D/Statistics/Documents/statistics/2013/Individuals_Internet_2000-2012.xls&amp;rct=j&amp;frm=1&amp;q=&amp;esrc=s&amp;sa=U&amp;ei=FZEQVPr-DMGUuATWwID4Dg&amp;ved=0CB4QFjAB&amp;sig2=luTD1VHyorvXiR56QeP_NA&amp;usg=AFQjCNHJRD89JSg6l2YH7SY6ZjhOfwjrdA</t>
  </si>
  <si>
    <t xml:space="preserve">http://www.brodynt.com/index.php/business-internet-italy?lang=en
http://www.google.com/url?url=http://www.itu.int/en/ITU-D/Statistics/Documents/statistics/2013/Individuals_Internet_2000-2012.xls&amp;rct=j&amp;frm=1&amp;q=&amp;esrc=s&amp;sa=U&amp;ei=FZEQVPr-DMGUuATWwID4Dg&amp;ved=0CB4QFjAB&amp;sig2=luTD1VHyorvXiR56QeP_NA&amp;usg=AFQjCNHJRD89JSg6l2YH7SY6ZjhOfwjrdA
</t>
  </si>
  <si>
    <t>http://www.brodynt.com/index.php/business-internet-italy?lang=en
http://www.google.com/url?url=http://www.itu.int/en/ITU-D/Statistics/Documents/statistics/2013/Individuals_Internet_2000-2012.xls&amp;rct=j&amp;frm=1&amp;q=&amp;esrc=s&amp;sa=U&amp;ei=FZEQVPr-DMGUuATWwID4Dg&amp;ved=0CB4QFjAB&amp;sig2=luTD1VHyorvXiR56QeP_NA&amp;usg=AFQjCNHJRD89JSg6l2YH7SY6ZjhOfwjrdA</t>
  </si>
  <si>
    <t>http://rbth.com/news/2013/09/05/40_percent_of_russian_internet_users_are_small-town_29545.html
http://www.itu.int/en/ITU-D/Statistics/Pages/stat/default.aspx</t>
  </si>
  <si>
    <t>EIU Data</t>
  </si>
  <si>
    <t>http://pages.eiu.com/rs/eiu2/images/EIU_BestCities.pdf</t>
  </si>
  <si>
    <t>http://store.eiu.com/article.aspx?productid=455217630&amp;articleid=765218661</t>
  </si>
  <si>
    <t>http://store.eiu.com/article.aspx?productid=455217630&amp;articleid=585218643</t>
  </si>
  <si>
    <t>http://store.eiu.com/article.aspx?productid=455217630&amp;articleid=1965218781</t>
  </si>
  <si>
    <t>http://store.eiu.com/article.aspx?productid=455217630&amp;articleid=195218604</t>
  </si>
  <si>
    <t>http://store.eiu.com/article.aspx?productid=455217630&amp;articleid=1445218529</t>
  </si>
  <si>
    <t>http://store.eiu.com/article.aspx?productid=455217630&amp;articleid=1455218730</t>
  </si>
  <si>
    <t>http://store.eiu.com/article.aspx?productid=455217630&amp;articleid=245218409</t>
  </si>
  <si>
    <t>http://store.eiu.com/article.aspx?productid=455217630&amp;articleid=935218478</t>
  </si>
  <si>
    <t>http://store.eiu.com/article.aspx?productid=455217630&amp;articleid=1125218697</t>
  </si>
  <si>
    <t>http://store.eiu.com/article.aspx?productid=455217630&amp;articleid=1595218544</t>
  </si>
  <si>
    <t>http://store.eiu.com/article.aspx?productid=455217630&amp;articleid=1485218733</t>
  </si>
  <si>
    <t>http://store.eiu.com/article.aspx?productid=455217630&amp;articleid=675218652</t>
  </si>
  <si>
    <t>http://pages.eiu.com/rs/eiu2/images/EIU_BestCities.pdf (Pg. 14)</t>
  </si>
  <si>
    <t>http://store.eiu.com/article.aspx?productid=455217630&amp;articleid=695218454</t>
  </si>
  <si>
    <t>http://store.eiu.com/article.aspx?productid=455217630&amp;articleid=385218823</t>
  </si>
  <si>
    <t>http://www.nationalplanningcycles.org/sites/default/files/country_docs/Ethiopia/ethiopia_hsdp_iv_final_draft_2010_-2015.pdf (Pg. 10)</t>
  </si>
  <si>
    <t>http://www.health-e.org.za/wp-content/uploads/2013/10/Web-DHB-2012-13.pdf (Page 230)</t>
  </si>
  <si>
    <t>https://www.cia.gov/library/publications/the-world-factbook/fields/2227.html</t>
  </si>
  <si>
    <t>http://worldpopulationreview.com/world-cities/sao-paulo-population/
http://bibliotecadigital.fgv.br/ojs/index.php/be/article/viewFile/21800/20555</t>
  </si>
  <si>
    <t>http://www.ft.com/cms/s/0/5ea15d38-dfd3-11e2-bf9d-00144feab7de.html#axzz3Ci7Yao5P</t>
  </si>
  <si>
    <t>https://www.newschallenge.org/challenge/healthdata/entries/a-healthcare-safety-net-work-for-south-los-angeles</t>
  </si>
  <si>
    <t>http://www.sfdph.org/dph/files/chip/CommunityHealthStatusAssessment.pdf</t>
  </si>
  <si>
    <t>http://www.fgmtl.org/en/vitalsigns2010/health.php</t>
  </si>
  <si>
    <t>http://kff.org/other/state-indicator/beds/</t>
  </si>
  <si>
    <t>EIU data</t>
  </si>
  <si>
    <t>1. http://knoema.com/atlas/Chile/Metropolitana-de-Santiago/topics/Health/Hospital-Beds/Hospital-Beds-Per-1000-Population</t>
  </si>
  <si>
    <t>http://www.radiolab.org/static/resources/2013/Jan/28/Exec_Summary_NYDH_Merger_copy.pdf (Pg. 2)</t>
  </si>
  <si>
    <t>http://www.cdc.gov/nchs/data/hus/2013/108.pdf</t>
  </si>
  <si>
    <t>http://www.sectorconnect.org.au/assets/pdf/resources/resourcepg/health/Critical_Condition_-_WS_Health_Report_August_2012.pdf (Pg. 13)</t>
  </si>
  <si>
    <t xml:space="preserve">1. http://www.heraldsun.com.au/news/victoria/victorian-hospitals-have-fewer-beds-despite-government-promise-of-hundreds-more/story-e6frf7kx-1226624746198?nk=5dfe5ab29cb76750ce005d18c09d87bf
2. http://www.abs.gov.au/ausstats/abs@.nsf/mf/3101.0
</t>
  </si>
  <si>
    <t>http://www.dh.gov.hk/english/statistics/statistics_hs/files/Health_Statistics_pamphlet_E.pdf</t>
  </si>
  <si>
    <t>1. http://www.stats.gov.cn/tjsj/ndsj/2013/indexeh.htm</t>
  </si>
  <si>
    <t>http://www.gdstats.gov.cn/tjnj/2013/directory/004.html</t>
  </si>
  <si>
    <t>1. http://www.igidr.ac.in/pdf/publication/WP-2013-008.pdf (Page 29)</t>
  </si>
  <si>
    <t>1. http://delhi.gov.in/wps/wcm/connect/7a3d5700473e9dfebca5bf0cc9089adb/Health+Facilities+PREPAGE+new.pdf?MOD=AJPERES&amp;lmod=-1282878289&amp;CACHEID=7a3d5700473e9dfebca5bf0cc9089adb (Page 3)</t>
  </si>
  <si>
    <t>http://www.google.com/url?sa=t&amp;rct=j&amp;q=&amp;esrc=s&amp;frm=1&amp;source=web&amp;cd=12&amp;cad=rja&amp;uact=8&amp;ved=0CCMQFjABOAo&amp;url=http%3A%2F%2Fwww.sciedu.ca%2Fjournal%2Findex.php%2Fjha%2Farticle%2Fdownload%2F1829%2F1082&amp;ei=noQNVICNOIa3uATBmIL4Aw&amp;usg=AFQjCNEpuYNC5aRl1U9dAnD_7SYl_5-MbQ&amp;bvm=bv.74649129,d.c2E (Pg. 3)</t>
  </si>
  <si>
    <t>http://data.worldbank.org/indicator/SH.MED.BEDS.ZS</t>
  </si>
  <si>
    <t>1. http://stats-japan.com/t/tdfk/tokyo</t>
  </si>
  <si>
    <t>http://stats-japan.com/t/tdfk/osaka</t>
  </si>
  <si>
    <t>http://www.moh.gov.sg/content/moh_web/home/our_healthcare_system/Healthcare_Services/Hospitals.html</t>
  </si>
  <si>
    <t>http://www-cgi.cnn.com/ASIANOW/asiaweek/asiacities/seoul.html</t>
  </si>
  <si>
    <t>http://www-cgi.cnn.com/ASIANOW/asiaweek/asiacities/taipei.html</t>
  </si>
  <si>
    <t>1. www.prema.or.th/health/new/PReMa_Region_2.pdf (Pg. 8)
2. www.prema.or.th/health/new/PReMa_Subject1.pdf</t>
  </si>
  <si>
    <t>http://www-cgi.cnn.com/ASIANOW/asiaweek/asiacities/hochiminh.html</t>
  </si>
  <si>
    <t>http://apps.who.int/iris/bitstream/10665/112738/1/9789240692671_eng.pdf (Pg. 134)</t>
  </si>
  <si>
    <t>http://apps.who.int/iris/bitstream/10665/112738/1/9789240692671_eng.pdf (Pg. 136)</t>
  </si>
  <si>
    <t>http://www.riyadhchamber.org.sa/ENGLISH/mainpage/News/Pages/RiyadhUrbanObservatory45.aspx</t>
  </si>
  <si>
    <t>1. http://www.haad.ae/HAAD/LinkClick.aspx?fileticket=JY0sMXQXrOU%3d&amp;tabid=1243 (Page 8)</t>
  </si>
  <si>
    <t>1. http://www.statistics.irisnet.be/files/publications/minibru/mini_bru_2014_EN.pdf (Page 11)</t>
  </si>
  <si>
    <t>1. http://www.indexmundi.com/g/g.aspx?v=2227&amp;c=fr&amp;l=en</t>
  </si>
  <si>
    <t xml:space="preserve">http://versus.com/en/rome-vs-beiroet
http://www.cchl-ccls.ca/document/720/CCHL_StudyTours-Italy2013_EN.pdf
http://data.worldbank.org/indicator/SH.MED.BEDS.ZS
</t>
  </si>
  <si>
    <t>http://versus.com/en/milan-vs-brussels
http://data.worldbank.org/indicator/SH.MED.BEDS.ZS
http://www.cchl-ccls.ca/document/720/CCHL_StudyTours-Italy2013_EN.pdf</t>
  </si>
  <si>
    <t>https://www.cia.gov/library/publications/the-world-factbook/geos/nl.html</t>
  </si>
  <si>
    <t>http://moscow-consulting.com/wp-content/uploads/2013/12/MCG-17-11-2013-How-can-state-financed-hospitals-increase-their-extrabudgetary-funding.pdf (pg. 5)</t>
  </si>
  <si>
    <t>1. http://knoema.com/tfhhyef/spain-regional-dataset-may-2013?tsId=1014810</t>
  </si>
  <si>
    <t>http://versus.com/en/lagos-vs-barcelona</t>
  </si>
  <si>
    <t>http://www.bfs.admin.ch/bfs/portal/en/index/regionen/kantone/vs/key.html</t>
  </si>
  <si>
    <t>http://sbu.saglik.gov.tr/Ekutuphane/kitaplar/hsy2012.pdf - Page 67
http://www.turkstat.gov.tr/PreHaberBultenleri.do?id=13425</t>
  </si>
  <si>
    <t>http://www.londoncouncils.gov.uk/londonfacts/default.htm?category=9
http://knoema.com/search?query=london</t>
  </si>
  <si>
    <t>http://www.nationalplanningcycles.org/sites/default/files/country_docs/Ethiopia/ethiopia_hsdp_iv_final_draft_2010_-2015.pdf (Pg. 28)</t>
  </si>
  <si>
    <t>http://data.worldbank.org/indicator/SH.MED.PHYS.ZS</t>
  </si>
  <si>
    <t>http://www.wtmlatinamerica.com/PageFiles/124205/sp_outlook_en.pdf?v=635066602524307390</t>
  </si>
  <si>
    <t>http://www.ipsnews.net/2013/08/doctors-in-brazil-too-few-or-just-too-far-between/</t>
  </si>
  <si>
    <t>http://www.bestplaces.net/health/city/california/los_angeles</t>
  </si>
  <si>
    <t>http://www.chcf.org/~/media/MEDIA%20LIBRARY%20Files/PDF/A/PDF%20AlmanacRegMktQRGSanFran13.pdf</t>
  </si>
  <si>
    <t>https://www.aamc.org/download/152122/data/illinois.pdf</t>
  </si>
  <si>
    <t>1. http://knoema.com/atlas/Chile/Metropolitana-de-Santiago/topics/Health/Healthcare-Personnel/Physicians
2. http://knoema.com/atlas/Chile/Metropolitana-de-Santiago/topics/Health/Healthcare-Personnel/Dentists
3. http://knoema.com/atlas/Chile/Metropolitana-de-Santiago/topics/Demography/Population/Total-Population</t>
  </si>
  <si>
    <t>1. https://www.aamc.org/download/263512/data/statedata2011.pdf (Page 13)</t>
  </si>
  <si>
    <t>http://www.statista.com/statistics/186102/top-10-states-by-number-of-active-physicians/</t>
  </si>
  <si>
    <t>https://www.hwa.gov.au/our-work/build-capacity/australias-future-health-workforce-hw2025</t>
  </si>
  <si>
    <t>1. http://www.dh.gov.hk/english/statistics/statistics_hs/files/Health_Statistics_pamphlet_E.pdf</t>
  </si>
  <si>
    <t>1. http://www.igidr.ac.in/pdf/publication/WP-2013-008.pdf (Page 30)</t>
  </si>
  <si>
    <t>1. http://shodhganga.inflibnet.ac.in/bitstream/10603/3077/12/12_chapter%204.pdf (Page 9)</t>
  </si>
  <si>
    <t>https://shared.uoit.ca/shared/faculty-sites/sustainability-today/publications/compendium_entries/jakarta.pdf</t>
  </si>
  <si>
    <t>https://www.cia.gov/library/publications/the-world-factbook/fields/2226.html</t>
  </si>
  <si>
    <t>1. http://stats-japan.com/t/kiji/10343</t>
  </si>
  <si>
    <t>http://urc.or.jp/wp-content/uploads/2014/03/FG06ENver1.0.pdf</t>
  </si>
  <si>
    <t>http://english.seoul.go.kr/get-to-know-us/the-ranking-of-seoul/city-competitiveness-index/1-gpci-mori-memorial-foundation/
http://english.seoul.go.kr/gtk/gcs/download/R47_Number%20of%20Medical%20Doctors.pdf
http://www.korea.net/AboutKorea/Korea-at-a-Glance/Facts-about-Korea</t>
  </si>
  <si>
    <t>http://www.taipeitimes.com/News/editorials/archives/2013/11/24/2003577547</t>
  </si>
  <si>
    <t>http://factsanddetails.com/southeast-asia/Vietnam/sub5_9f/entry-3461.html
http://www.vietnam.alloexpat.com/vietnam_information/population_vietnam.php</t>
  </si>
  <si>
    <t>http://apps.who.int/iris/bitstream/10665/112738/1/9789240692671_eng.pdf</t>
  </si>
  <si>
    <t>1. http://www.statistics.irisnet.be/files/publications/minibru/mini_bru_2014_EN.pdf (Page 10)</t>
  </si>
  <si>
    <t>1. http://www.indexmundi.com/g/g.aspx?v=2226&amp;c=fr&amp;l=en</t>
  </si>
  <si>
    <t>https://www.cia.gov/library/publications/the-world-factbook/geos/gm.html</t>
  </si>
  <si>
    <t>http://www.oecd.org/edu/imhe/45797705.pdf
http://apps.who.int/iris/bitstream/10665/112738/1/9789240692671_eng.pdf</t>
  </si>
  <si>
    <t>http://www.idescat.cat/cat/idescat/publicacions/cataleg/pdfdocs/xifresct/xifres2011en.pdf?20120112</t>
  </si>
  <si>
    <t>http://www.google.co.in/url?url=http://www.bfs.admin.ch/bfs/portal/en/index/news/publikationen.Document.171275.pdf&amp;rct=j&amp;frm=1&amp;q=&amp;esrc=s&amp;sa=U&amp;ei=N10NVKSLNs67uASm8YH4BA&amp;ved=0CCQQFjAD&amp;usg=AFQjCNELEJfIaeWf_9L0FRhvm8GzlizVwQ</t>
  </si>
  <si>
    <t>http://www.todayszaman.com/news-238136-study-reveals-there-is-one-doctor-for-every-640-people-in-turkey.html
http://www.winesofturkey.org/turkey-3/</t>
  </si>
  <si>
    <t>http://knoema.com/atlas/United-Kingdom-of-Great-Britain-and-Northern-Ireland/London/Physicians-or-doctors</t>
  </si>
  <si>
    <t>http://www.siemens.com/entry/cc/en/greencityindex.htm</t>
  </si>
  <si>
    <t>Numbeo</t>
  </si>
  <si>
    <t>https://www.cia.gov/library/publications/the-world-factbook/geos/et.html</t>
  </si>
  <si>
    <t>https://shared.uoit.ca/shared/faculty-sites/sustainability-today/publications/compendium_entries/Johannesburg.pdf</t>
  </si>
  <si>
    <t>http://www.buenosaires.gob.ar/areas/hacienda/sis_estadistico/buscador.php?&amp;tipopubli=33&amp;subtipopubli=&amp;titulo=&amp;anio=&amp;mes=&amp;PHPSESSID=948cc991a26297aacd58d4ce7497b4ad&amp;__utmc=33973426&amp;__utma=33973426.1055167893.1410168795.1410168795.1410168795.1&amp;__utmb=33973426.4.10.1410168795&amp;__utmz=33973426.1410168795.1.1.utmcsr%3Den.wikipedia.org%7Cutmccn%3D%28referral%29%7Cutmcmd%3Dreferral%7Cutmcct%3D%2Fwiki%2FBuenos_Aires&amp;_ga=GA1.3.1055167893.1410168795&amp;_gat=1&amp;cfilas=100&amp;offset=0 - statistical yearbook 2013, page 39 and 181</t>
  </si>
  <si>
    <t>http://siteresources.worldbank.org/INTURBANDEVELOPMENT/Resources/336387-1306291319853/CS_Sao_Paulo.pdf</t>
  </si>
  <si>
    <t>http://www.firjan.org.br/data/pages/2C908CE92593A8810125B15DE2B00200.htm</t>
  </si>
  <si>
    <t>http://www.pasadenastarnews.com/general-news/20100727/life-expectancy-in-la-county-hits-new-high-slightly-over-80-years-old</t>
  </si>
  <si>
    <t>1. http://www.worldlifeexpectancy.com/usa/california-life-expectancy-by-county-female
2. http://www.worldlifeexpectancy.com/usa/california-life-expectancy-by-county-male
3. http://www.worldpopulationstatistics.com/san-francisco-population-2013/</t>
  </si>
  <si>
    <t>1. http://www1.toronto.ca/City%20Of%20Toronto/Toronto%20Public%20Health/Communications/Home%20Page/Files/pdf/A/TPH%20Annual%20Report%20single.pdf (Pg. 23)
2. http://worldpopulationreview.com/world-cities/toronto-population/</t>
  </si>
  <si>
    <t>http://www4.hrsdc.gc.ca/.3ndic.1t.4r@-eng.jsp?iid=3</t>
  </si>
  <si>
    <t>http://www.cityofchicago.org/content/dam/city/depts/cdph/statistics_and_reports/LifeExpectancyinChicago1990-2010.pdf</t>
  </si>
  <si>
    <t>1. http://www.indexmundi.com/chile/life_expectancy_at_birth.html</t>
  </si>
  <si>
    <t>1. http://lgdata.s3-website-us-east-1.amazonaws.com/docs/3245/887574/vs-executive-summary-2011.pdf (Page 3)</t>
  </si>
  <si>
    <t>http://www.worldlifeexpectancy.com/usa/district-of-columbia-life-expectancy</t>
  </si>
  <si>
    <t xml:space="preserve">http://www.healthstats.nsw.gov.au/Indicator/bod_lexbth_lhn
</t>
  </si>
  <si>
    <t>http://www.health.vic.gov.au/healthstatus/admin/life-expectancy/le0307.htm
http://www.doutta.org.au/files/Demographic/City_of_Melb_Demographic_info.pdf</t>
  </si>
  <si>
    <t>http://www.gov.hk/en/about/abouthk/factsheets/docs/population.pdf
http://www.chp.gov.hk/en/data/4/10/27/111.html</t>
  </si>
  <si>
    <t>1. http://english.cri.cn/6909/2014/06/16/189s831780.htm</t>
  </si>
  <si>
    <t>1. http://www.stats.gov.cn/tjsj/ndsj/2013/html/Z0309E.HTM</t>
  </si>
  <si>
    <t>http://www.chancheng.gov.cn/enchancheng/News/200801/f3cc2585c1a54b30b3990de82b87ca46.shtml</t>
  </si>
  <si>
    <t>1. http://apps.who.int/iris/bitstream/10665/112738/1/9789240692671_eng.pdf (Page 62)</t>
  </si>
  <si>
    <t>1. http://www.iipsindia.org/pdf/05_b_09cchep5.pdf (Page 8)</t>
  </si>
  <si>
    <t>http://who.int/kobe_centre/publications/Indonesia.pdf (Pg. 15)
http://regionalinvestment.bkpm.go.id/newsipid/demografipendudukjkel.php?ia=31&amp;is=37&amp;lang=en</t>
  </si>
  <si>
    <t>http://www.who.int/kobe_centre/measuring/urbanheart/tehran_urbanheart_city_report.pdf (Pg. 32)
http://www.irna.ir/en/News/2735787/Social/Iranian_life_expectancy_reaches_72</t>
  </si>
  <si>
    <t>http://www.stat.go.jp/english/data/nenkan/index.htm</t>
  </si>
  <si>
    <t>http://knoema.com/atlas/Republic-of-Korea/Seoul/Projected-Life-Expectancy-at-Birth-Male
http://knoema.com/atlas/Republic-of-Korea/Seoul/Projected-Life-Expectancy-at-Birth-Female
http://knoema.com/atlas/Republic-of-Korea/Seoul/Male-Population
http://knoema.com/atlas/Republic-of-Korea/Seoul/Total-Population</t>
  </si>
  <si>
    <t>http://focustaiwan.tw/news/asoc/201403050026.aspx</t>
  </si>
  <si>
    <t>http://www.theodora.com/wfbcurrent/vietnam/vietnam_people.html</t>
  </si>
  <si>
    <t>http://www.indexmundi.com/kuwait/life_expectancy_at_birth.html</t>
  </si>
  <si>
    <t>http://www.indexmundi.com/qatar/demographics_profile.html</t>
  </si>
  <si>
    <t>http://www.arabnews.com/news/496706</t>
  </si>
  <si>
    <t>http://www.haad.ae/HAAD/LinkClick.aspx?fileticket=JY0sMXQXrOU%3d&amp;tabid=1243 (Page 22)</t>
  </si>
  <si>
    <t>1. http://www.statistics.irisnet.be/files/publications/minibru/mini_bru_2014_EN.pdf (Pages 6 &amp; 10)</t>
  </si>
  <si>
    <t>1. http://www.indexmundi.com/g/g.aspx?v=30&amp;c=fr&amp;l=en</t>
  </si>
  <si>
    <t>http://www.smashinglists.com/10-best-places-to-live-in-2011-quality-of-living-index/</t>
  </si>
  <si>
    <t>http://knoema.com/atlas/Italy/Lazio/Life-expectancy</t>
  </si>
  <si>
    <t>http://knoema.com/atlas/Italy/Lombardy/Life-expectancy</t>
  </si>
  <si>
    <t>http://results.urhis.eu/profiles/HealthProfile_Amsterdam%2025082012.pdf (Pg.5)
http://knoema.com/atlas/Netherlands/topics/Demographics/Population/Sex-ratio</t>
  </si>
  <si>
    <t>http://in.rbth.com/news/2013/08/23/life_expectancy_in_moscow_reaches_european_levels_-_sobyanin_28761.html</t>
  </si>
  <si>
    <t>1. http://www.ine.es/en/prensa/np584_en.pdf (Page 4)</t>
  </si>
  <si>
    <t>http://www.idescat.cat/pub/?id=tvida&amp;n=1.3.1&amp;lang=en</t>
  </si>
  <si>
    <t xml:space="preserve">http://www.statoo.ch/sst13/presentations/Atelier_D_2.pdf (Page 30)
https://www.stadt-zuerich.ch/prd/de/index/statistik/publikationsdatenbank/Taschenstatistik/TAS_2013en.html
</t>
  </si>
  <si>
    <t>http://lsecities.net/media/objects/articles/urban-age-cities-compared/en-gb/</t>
  </si>
  <si>
    <t>http://data.london.gov.uk/datastore/package/life-expectancy-birth-and-age-65-ward
http://www.london.gov.uk/sites/default/files/archives/mayor-publications-2009-docs-women-in-london.pdf</t>
  </si>
  <si>
    <t>http://populationcommunication.com/wp-content/uploads/2014/06/POPULATION_STABILISATION_REPORT-ETHIOPIA.pdf</t>
  </si>
  <si>
    <t xml:space="preserve">http://www.health.gpg.gov.za/Pages/Annual-Reports.aspx
</t>
  </si>
  <si>
    <t>http://www.buenosaires.gob.ar/areas/hacienda/sis_estadistico/buscador.php?&amp;tipopubli=33&amp;subtipopubli=&amp;titulo=&amp;anio=&amp;mes=&amp;PHPSESSID=948cc991a26297aacd58d4ce7497b4ad&amp;__utmc=33973426&amp;__utma=33973426.1055167893.1410168795.1410168795.1410168795.1&amp;__utmb=33973426.4.10.1410168795&amp;__utmz=33973426.1410168795.1.1.utmcsr%3Den.wikipedia.org%7Cutmccn%3D%28referral%29%7Cutmcmd%3Dreferral%7Cutmcct%3D%2Fwiki%2FBuenos_Aires&amp;_ga=GA1.3.1055167893.1410168795&amp;_gat=1&amp;cfilas=100&amp;offset=0 - statistical yearbook 2013, page 168</t>
  </si>
  <si>
    <t>http://www.scielo.br/scielo.php?pid=S0034-89102013000601048&amp;script=sci_arttext&amp;tlng=en</t>
  </si>
  <si>
    <t>http://news.xinhuanet.com/english2010/health/2010-05/25/c_13313679.htm</t>
  </si>
  <si>
    <t>http://www.cdph.ca.gov/data/statistics/Documents/MO-MCAH-StatewideInfantMortalityData.pdf</t>
  </si>
  <si>
    <t xml:space="preserve">1. http://www.kidsdata.org/topic/294/infantmortality/table#fmt=2236&amp;loc=265&amp;tf=76&amp;sortColumnId=0&amp;sortType=asc
</t>
  </si>
  <si>
    <t>1. http://www1.toronto.ca/City%20Of%20Toronto/Toronto%20Public%20Health/Communications/Home%20Page/Files/pdf/A/TPH%20Annual%20Report%20single.pdf (Pg. 23)</t>
  </si>
  <si>
    <t>http://www.stat.gouv.qc.ca/statistiques/profils/profil06/societe/demographie/nais_deces/mort06_an.htm</t>
  </si>
  <si>
    <t>http://news.medill.northwestern.edu/chicago/news.aspx?id=230270</t>
  </si>
  <si>
    <t>http://www.inei.gob.pe/estadisticas/indice-tematico/sociales/</t>
  </si>
  <si>
    <t>1. http://knoema.com/atlas/Chile/Metropolitana-de-Santiago/topics/Demography/Mortality/Infant-Mortality-Rate</t>
  </si>
  <si>
    <t>1. http://lgdata.s3-website-us-east-1.amazonaws.com/docs/3245/887574/vs-executive-summary-2011.pdf (Page 8)</t>
  </si>
  <si>
    <t>http://www.doh.wa.gov/DataandStatisticalReports/VitalStatisticsData/InfantDeathData/InfantDeathTablesbyYear</t>
  </si>
  <si>
    <t>http://www.healthstats.nsw.gov.au/Indicator/Bod_infdth</t>
  </si>
  <si>
    <t>http://www.abs.gov.au/ausstats/abs@.nsf/Lookup/by+Subject/1367.0~2011~Main+Features~Infant+Mortality~3.17</t>
  </si>
  <si>
    <t>1. http://ebook.taipei.gov.tw/yearbook/2012/En/index.html#353/z</t>
  </si>
  <si>
    <t>1. http://apps.who.int/iris/bitstream/10665/112738/1/9789240692671_eng.pdf (Page 63)</t>
  </si>
  <si>
    <t>1. http://www.delhi.gov.in/wps/wcm/connect/73b95e00408f7b6db48cff1dfb6415f9/report+final.pdf?MOD=AJPERES&amp;lmod=-764531927&amp;CACHEID=73b95e00408f7b6db48cff1dfb6415f9 (Page 6)</t>
  </si>
  <si>
    <t>http://knoema.com/atlas/Indonesia/Jakarta-Special-City-District/Infant-Mortality-Rate</t>
  </si>
  <si>
    <t>http://www.indexmundi.com/iran/demographics_profile.html</t>
  </si>
  <si>
    <t>1.  http://www.e-stat.go.jp/SG1/estat/ListE.do?bid=000001052146&amp;cycode=0                                                2.http://apps.who.int/iris/bitstream/10665/112738/1/9789240692671_eng.pdf (Page 65)</t>
  </si>
  <si>
    <t>http://www.google.com/url?url=http://www.estis.net/includes/file.asp%3Fsite%3Dchip%26file%3D0C3008B3-1877-4880-A22A-B6F18FBA443E&amp;rct=j&amp;frm=1&amp;q=&amp;esrc=s&amp;sa=U&amp;ei=-pIOVPysGMS3uATrkYHoCw&amp;ved=0CBQQFjAA&amp;usg=AFQjCNE7bpgKL4oLDErN3bJ3qb_-EpGdhg
http://www.indexmundi.com/south_korea/demographics_profile.html</t>
  </si>
  <si>
    <t>http://ebook.taipei.gov.tw/yearbook/2012/En/index.html#345/z (Pg. 345)</t>
  </si>
  <si>
    <t>http://www.indexmundi.com/kuwait/infant_mortality_rate.html</t>
  </si>
  <si>
    <t>http://www.highbeam.com/doc/1G1-307146474.html
http://www.indexmundi.com/qatar/demographics_profile.html</t>
  </si>
  <si>
    <t>http://www.indianembassy.org.sa/Content.aspx?ID=896</t>
  </si>
  <si>
    <t>1. http://www.haad.ae/HAAD/LinkClick.aspx?fileticket=JY0sMXQXrOU%3d&amp;tabid=1243 (Page 22)</t>
  </si>
  <si>
    <t>1. http://www.observatbru.be/documents/publications/les-notes-de-lobservatoire/201301mortaliteperinatale.xml?lang=en</t>
  </si>
  <si>
    <t>1. http://www.indexmundi.com/g/g.aspx?v=29&amp;c=fr&amp;l=en</t>
  </si>
  <si>
    <t>http://ebook.taipei.gov.tw/yearbook/2012/En/index.html#354/z</t>
  </si>
  <si>
    <t>http://knoema.com/atlas/Italy/Lazio/Number-dying-between-0-1-year
http://knoema.com/atlas/Italy/Lazio/Live-births</t>
  </si>
  <si>
    <t>http://knoema.com/atlas/Italy/Lombardy/Number-dying-between-0-1-year
http://knoema.com/atlas/Italy/Lombardy/Live-births</t>
  </si>
  <si>
    <t>http://results.urhis.eu/profiles/HealthProfile_Amsterdam%2025082012.pdf (Pg.5)</t>
  </si>
  <si>
    <t>http://knoema.com/atlas/Russian-Federation/Moscow-Region/Infant-mortality-rate</t>
  </si>
  <si>
    <t>http://www.indexmundi.com/spain/demographics_profile.html</t>
  </si>
  <si>
    <t>http://www.bfs.admin.ch/bfs/portal/en/index/themen/01/06/blank/key/04/03.html</t>
  </si>
  <si>
    <t>http://sbu.saglik.gov.tr/Ekutuphane/kitaplar/hsy2012.pdf</t>
  </si>
  <si>
    <t>http://knoema.com/atlas/United-Kingdom-of-Great-Britain-and-Northern-Ireland/London/Infant-mortality-rate</t>
  </si>
  <si>
    <t>http://www.cancerresearchuk.org/cancer-info/cancerstats/world/mortality/</t>
  </si>
  <si>
    <t>http://www.health.gpg.gov.za/Pages/Annual-Reports.aspx
http://beta2.statssa.gov.za/?page_id=1021&amp;id=city-of-johannesburg-municipality
http://beta2.statssa.gov.za/publications/P03093/P030932011.pdf</t>
  </si>
  <si>
    <t xml:space="preserve">http://www.cancerresearchuk.org/cancer-info/cancerstats/world/mortality/ </t>
  </si>
  <si>
    <t>http://www.ccrcal.org/pdf/factsheets/counties/LosAngeles_CountyFactsheets2011.pdf
http://spreadsheets.latimes.com/california-cities-population-change/</t>
  </si>
  <si>
    <t>http://www.ccrcal.org/pdf/reports/ACS_2013.pdf (Pg. 7)</t>
  </si>
  <si>
    <t>http://www.cancer.ca/~/media/cancer.ca/CW/cancer%20information/cancer%20101/Canadian%20cancer%20statistics/Canadian-Cancer-Statistics-2014-EN.pdf</t>
  </si>
  <si>
    <t>http://www.cancer.ca/en/cancer-information/cancer-101/canadian-cancer-statistics-publication/past-editions-canadian-cancer-statistics/?region=qc</t>
  </si>
  <si>
    <t>http://www.cityofchicago.org/content/dam/city/depts/cdph/statistics_and_reports/LifeExpectancyinChicago1990-2010.pdf (page 17)</t>
  </si>
  <si>
    <t>http://www.cancerresearchuk.org/cancer-info/cancerstats/world/mortality/#By</t>
  </si>
  <si>
    <t>1. http://www.cancerindex.org/Chile</t>
  </si>
  <si>
    <t>1. http://lgdata.s3-website-us-east-1.amazonaws.com/docs/3245/887574/vs-executive-summary-2011.pdf (Page 5)</t>
  </si>
  <si>
    <t>http://www.worldlifeexpectancy.com/usa/district-of-columbia-cancer</t>
  </si>
  <si>
    <t>http://www.abs.gov.au/ausstats/abs@.nsf/Products/1338.1~March+2010~Main+Features~Health?OpenDocument</t>
  </si>
  <si>
    <t>1. http://www.cancervic.org.au/downloads/cec/cancer-in-vic/ccv-statistics-trends-2012.pdf (Pg. 9)
2. http://www.abs.gov.au/ausstats/abs@.nsf/mf/3101.0</t>
  </si>
  <si>
    <t>1. http://www3.ha.org.hk/cancereg/e_a2.asp</t>
  </si>
  <si>
    <t>1. http://shanghaidaily.com/supplement/Shanghai-has-nations-highest-rate-of-cancer/shdaily.shtml
2. http://worldpopulationreview.com/world-cities/shanghai-population/</t>
  </si>
  <si>
    <t>1. http://www.chinadaily.com.cn/china/2014-04/15/content_17435123.htm</t>
  </si>
  <si>
    <t>1. http://www.delhi.gov.in/wps/wcm/connect/73b95e00408f7b6db48cff1dfb6415f9/report+final.pdf?MOD=AJPERES&amp;lmod=-764531927&amp;CACHEID=73b95e00408f7b6db48cff1dfb6415f9 (Page 59, 52 and 23)</t>
  </si>
  <si>
    <t>http://www.e-stat.go.jp/SG1/estat/ListE.do?bid=000001052146&amp;cycode=0</t>
  </si>
  <si>
    <t>http://english.yonhapnews.co.kr/national/2013/02/15/0302000000AEN20130215002100315.HTML</t>
  </si>
  <si>
    <t>http://focustaiwan.tw/news/asoc/201406250034.aspx
http://www.populationfun.com/taiwan-population/</t>
  </si>
  <si>
    <t>http://bk.asia-city.com/city-living/article/27-ways-die-bangkok</t>
  </si>
  <si>
    <t>1. http://www.kankerregister.org/media/docs/StK_publicatie.pdf (Page 24)</t>
  </si>
  <si>
    <t>1. http://ec.europa.eu/health/reports/docs/health_glance_en.pdf (Page 37)</t>
  </si>
  <si>
    <t>http://www.tumorionline.it/r.php?v=1334&amp;a=14800&amp;l=21345&amp;f=allegati/01334_2013_03/fulltext/11-Rashid%20(359-365).pdf
https://www.evi.com/q/what_is_the_population_of_lazio_italy_2012</t>
  </si>
  <si>
    <t>http://www.tumorionline.it/articoli.php?archivio=yes&amp;vol_id=1334&amp;id=14791
http://www.evi.com/q/what_is_the_population_of_lombardia</t>
  </si>
  <si>
    <t>http://results.urhis.eu/profiles/HealthProfile_Amsterdam%2025082012.pdf (Pg 7)
http://knoema.com/atlas/Netherlands/topics/Demographics/Population/Sex-ratio</t>
  </si>
  <si>
    <t>1. http://www.cancerresearchuk.org/cancer-info/cancerstats/world/mortality/</t>
  </si>
  <si>
    <t>http://www.londoncancer.org/media/11798/cancer-case-for-change.pdf
http://www.evi.com/q/population_of_london_in_2010</t>
  </si>
  <si>
    <t>http://www.timeslive.co.za/thetimes/2013/08/29/traffic-fines-ditched</t>
  </si>
  <si>
    <t>http://www.ticketbust.com/traffic-fines/number-traffic-tickets.html</t>
  </si>
  <si>
    <t>1. http://www.courts.ca.gov/documents/2013-Court-Statistics-Report.pdf (Pg. 137)
2. http://www.sfmta.com/sites/default/files/2013%20SAN%20FRANCISCO%20TRANSPORTATION%20FACT%20SHEET.pdf (Pg. 2)</t>
  </si>
  <si>
    <t>http://www.torontopolice.on.ca/publications/files/reports/2012statsreport.pdf (Pg. 19)</t>
  </si>
  <si>
    <t>http://www.themetropolitain.ca/articles/view/805</t>
  </si>
  <si>
    <t>https://portal.chicagopolice.org/portal/page/portal/ClearPath/News/Statistical%20Reports/Annual%20Reports - 2010 annual report (Pg. 34)
http://articles.chicagotribune.com/2012-02-03/news/ct-talk-chicago-city-stickers-0203-20120203_1_stickers-kristine-williams-mayor-rahm-emanuel</t>
  </si>
  <si>
    <t xml:space="preserve">http://www3.inegi.org.mx/sistemas/productos/default.aspx?c=265&amp;s=inegi&amp;upc=702825054014&amp;pf=Prod&amp;ef=&amp;f=2&amp;cl=0&amp;tg=7&amp;pg=0
http://apps.who.int/iris/bitstream/10665/79753/1/9789241505352_eng.pdf (Pg. 51)
</t>
  </si>
  <si>
    <t>http://www.inei.gob.pe/estadisticas/indice-tematico/seguridad-ciudadana/</t>
  </si>
  <si>
    <t>http://www.nyc.gov/html/nypd/downloads/pdf/traffic_data/citysum.pdf</t>
  </si>
  <si>
    <t>http://mpdc.dc.gov/sites/default/files/dc/sites/mpdc/publication/attachments/MPD%20Annual%20Report%202013_lowres.pdf</t>
  </si>
  <si>
    <t>http://www.police.nsw.gov.au/__data/assets/pdf_file/0011/297821/NSW_Police_Force_2012-13_Annual_Report.pdf</t>
  </si>
  <si>
    <t>http://www.td.gov.hk/en/publications_and_press_releases/publications/free_publications/safe_speed_safe_drive__/index.html</t>
  </si>
  <si>
    <t>http://www.capitalfm.co.ke/news/2013/02/china-reports-fewer-traffic-violations-road-accidents/</t>
  </si>
  <si>
    <t>http://english.sz.gov.cn/ln/201405/t20140514_2394420.htm</t>
  </si>
  <si>
    <t>http://www.bjjtgl.gov.cn/publish/portal1/tab165/info14207.htm</t>
  </si>
  <si>
    <t>1. http://timesofindia.indiatimes.com/city/bangalore/Bangalore-sees-16000-traffic-violations-daily/articleshow/15332697.cms</t>
  </si>
  <si>
    <t>1. http://timesofindia.indiatimes.com/city/bangalore/Bangalore-sees-16000-traffic-violations-daily/articleshow/15332697.cms
2. http://delhigovt.nic.in/newdelhi/dept/transport/tr4.asp</t>
  </si>
  <si>
    <t>http://www.thejakartaglobe.com/news/jakarta/battle-for-jakartas-sidewalks-rages-on/</t>
  </si>
  <si>
    <t>http://www.e-stat.go.jp/SG1/estat/ListE.do?bid=000001052147&amp;cycode=0
http://www.e-stat.go.jp/SG1/estat/ListE.do?bid=000001052146&amp;cycode=0 - (Safety Excel)</t>
  </si>
  <si>
    <t xml:space="preserve">http://www.police.gov.sg/stats/traffic2013.html?_ga=1.197352687.1753875088.1410333926
http://srsc.org.sg/category/2013/
http://app.lta.gov.sg/apps/news/page.aspx?c=2&amp;id=91de65eb-fea5-48f6-b101-5573dc68face
</t>
  </si>
  <si>
    <t>http://koreabizwire.com/quarter-of-seoul-citizens-busted-for-illegal-parking/8742</t>
  </si>
  <si>
    <t xml:space="preserve">http://ebook.taipei.gov.tw/yearbook/2012/En/index.html#119/z (Pg.347)
http://ebook.taipei.gov.tw/yearbook/2012/En/index.html#7/z - (pg. 7)
</t>
  </si>
  <si>
    <t>http://news.asiaone.com/news/asia/traffic-tickets-down-bangkok</t>
  </si>
  <si>
    <t>http://www.thanhniennews.com/society/vietnam-transport-minister-targets-lawbreakers-6913.html</t>
  </si>
  <si>
    <t>1. http://dohanews.co/study-counts-huge-cost-road-accidents-qatar/</t>
  </si>
  <si>
    <t>http://www.arabnews.com/news/546476</t>
  </si>
  <si>
    <t>1. http://archive.etsc.eu/documents/Final_Traffic_Law_Enforcement_in_the_EU.pdf (Page 25)
2. http://www.map-france.com/department-Paris/</t>
  </si>
  <si>
    <t>http://www.poliziadistato.it/articolo/22595/</t>
  </si>
  <si>
    <t>1. http://www.government.nl/news/2014/02/07/over-10-million-traffic-violations-in-2013.html
2. http://e-mobility-nsr.eu/fileadmin/user_upload/downloads/info-pool/ActionPlanAmsterdam.pdf</t>
  </si>
  <si>
    <t>1. http://www.acg.ru/english/traffic_accident_rate_on_decline_in_russia_but_situation_still_tense_-_minister</t>
  </si>
  <si>
    <t>http://www.todayszaman.com/news-219341-running-red-light-most-common-traffic-violation-in-istanbul.html</t>
  </si>
  <si>
    <t>http://www.urbanafrica.net/blogs/pain-gain-rapid-urban-growth-urbanism-addis-ababa/</t>
  </si>
  <si>
    <t>http://alexnews.co.za/26730/joburg-not-a-pedestrian-friendly-city/</t>
  </si>
  <si>
    <t>http://www.citylab.com/commute/2014/03/how-buenos-aires-unclogged-its-most-iconic-street/8549/</t>
  </si>
  <si>
    <t>1. https://lockerdome.com/6411052418074945/6794026531832340
2. http://sustainablebrasil.com/sao-paulo-turning-parking-space-into-mini-parks/
3. http://www.itdp.org/reclaiming-the-city-one-space-at-a-time/</t>
  </si>
  <si>
    <t>http://riotimesonline.com/brazil-news/rio-real-estate/brt-accidents-causing-concern-in-rio/</t>
  </si>
  <si>
    <t>http://www.nbclosangeles.com/news/local/Los-Angeles-Awards-Grants-to-Three-US-Cities-to-Improve-Pedestrian-Safety-256727231.html
http://ladot.lacity.org/WhatWeDo/Safety/PedestrianSafety/index.htm
http://www.lausd-oehs.org/trafficandpedestriansafety.asp</t>
  </si>
  <si>
    <t xml:space="preserve">1. http://www.sacbee.com/2014/07/06/6537106/san-francisco-works-to-improve.html
2. http://www.sfexaminer.com/sanfrancisco/forty-short-term-road-safety-projects-puts-san-francisco-on-the-road-toward-zero-traffic-deaths-by-2024/Content?oid=2821869
3. http://archives.sfmta.com/cms/rpedmast/documents/1-29-13PedestrianStrategy.pdf
</t>
  </si>
  <si>
    <t>1. http://globalnews.ca/news/1517733/torontos-nxt-city-prize-winner-designs-pedestrian-friendly-yonge-st/
2. http://toronto.ctvnews.ca/toronto-police-launch-week-long-pedestrian-safety-campaign-1.1526781
3. http://www.citynews.ca/2013/03/04/do-the-bright-thing-pedestrian-safety-campaign-launched/
4. http://www.torontosun.com/2014/05/09/olivia-chow-unveils-her-pedestrian-safety-policy</t>
  </si>
  <si>
    <t>1. http://ccmta.ca/images/pdf-documents-english/police-partnership-award/2010_submissions/4_-_Montreal_Police_Service_English.pdf
2. http://ville.montreal.qc.ca/portal/page?_pageid=8417,94697577&amp;_dad=portal&amp;_schema=PORTAL
3. http://www.spvm.qc.ca/en/Fiches/Details/Traffic-Signals-for-Pedestrians
4. http://www.quebec511.info/en/cameras/montreal/index.aspx#liste</t>
  </si>
  <si>
    <t>http://articles.chicagotribune.com/2012-09-06/news/ct-met-chicago-pedestrian-plan-20120906_1_vehicle-pedestrian-crashes-pedestrian-safety-crosswalks
http://usa.streetsblog.org/2012/09/06/chicago-unveils-its-ambitious-pedestrian-safety-plan/
http://chicagocompletestreets.org/proposed-pedestrian-projects/</t>
  </si>
  <si>
    <t xml:space="preserve">http://www.itdp.org/mexico-citys-newest-street-redesign-in-historic-center-prioritizes-pedestrians/
http://thecityfix.com/blog/mexico-city-mobility-lay-shifts-focus-people-cars-sprawl-traffic-safety-fernando-paez-gisela-mendez/
</t>
  </si>
  <si>
    <t>1. http://thecityfix.com/blog/join-google-hangout-sustainable-cities-world-environment-day-wed2014-lima-peru-robin-king-ryan-schleeter/
2. http://www.limaeasy.com/getting-around-lima/getting-around-on-foot</t>
  </si>
  <si>
    <t>http://www.archdaily.com/499136/elemental-proposes-pedestrian-path-to-connect-districts-of-santiago/</t>
  </si>
  <si>
    <t>http://www.nyc.gov/html/dot/html/pedestrians/pedestrians.shtml</t>
  </si>
  <si>
    <t>http://mpdc.dc.gov/node/208362
http://mpdc.dc.gov/node/724422
http://mpdc.dc.gov/node/724412
http://mpdc.dc.gov/node/208432</t>
  </si>
  <si>
    <t xml:space="preserve">1.http://www.google.com/url?url=http://www.maa.nsw.gov.au/getfile.aspx%3FType%3Ddocument%26ID%3D44318%26ObjectType%3D3%26ObjectID%3D3905&amp;rct=j&amp;frm=1&amp;q=&amp;esrc=s&amp;sa=U&amp;ei=WDQRVIi2M9LHuASchYD4Cg&amp;ved=0CBsQFjAA&amp;usg=AFQjCNEf0ya1F49d70D-zAE8bp2r2zBMCQ
2. http://www.apsguide.org/chapter10_australia.cfm
3. http://www.sydneyoperahouse.com/about/corporate_information/vehicle_access_pedestrian_saftety_project_overview.aspx
</t>
  </si>
  <si>
    <t>1. http://www.melbourne.vic.gov.au/AboutCouncil/PlansandPublications/strategies/Documents/TransportStrategy/Transport_Strategy_2012.pdf (Pg. 34)
2. http://www.theaustralian.com.au/news/walking-plan-blueprint-to-make-melbournes-cbd-more-pedestrian-friendly/story-e6frg6n6-1226943479547?nk=5dfe5ab29cb76750ce005d18c09d87bf
3. http://www.roadsafetyeducation.vic.gov.au/parents-and-carers/parents-and-carers-of-pedestrians.html</t>
  </si>
  <si>
    <t xml:space="preserve">1. http://www.td.gov.hk/en/transport_in_hong_kong/pedestrianisation/pedestrianisation/
2. http://maisonneuve.org/article/2005/09/7/improved-pedestrian-experience/
</t>
  </si>
  <si>
    <t>http://usa.chinadaily.com.cn/china/2014-06/30/content_17623210.htm</t>
  </si>
  <si>
    <t>http://www.shanghai.gov.cn/shanghai/node27118/node27818/u22ai68934.html
http://www.szdaily.com/content/2014-08/29/content_10095203.htm
http://www.un.org/esa/dsd/susdevtopics/sdt_pdfs/shanghaimanual/Chapter%204%20-%20Sustainable%20urban%20transport.pdf</t>
  </si>
  <si>
    <t>http://www.szdaily.com/content/2014-08/29/content_10095203.htm</t>
  </si>
  <si>
    <t>1. http://www.itdp.org/wp-content/uploads/2014/07/Guangzhou-Case-Studies-Motorcycles-15-Sep-08.pdf (Page 4 onwards)
2. http://siteresources.worldbank.org/INTEAPREGTOPTRANSPORT/34004324-1189182692007/22267513/ChinaRoadTrafficSafetyEnglish.pdf (Page 33, 83)</t>
  </si>
  <si>
    <t>http://www.chinadaily.com.cn/m/tianjin2012/2013-11/27/content_17134910.htm
http://www3.weforum.org/docs/WEF_IU_FutureUrbanDevelopmentInitiative_Tianjin_2013.pdf
http://www.treehugger.com/corporate-responsibility/chinas-innovative-traffic-lights-how-china-is-already-light-years-ahead-of-the-west.html
http://www.tj.gov.cn/english/open_government/Department/200709/t20070926_23453.htm</t>
  </si>
  <si>
    <t>1. http://www.mumbaimirror.com/mumbai/cover-story/Pedestrian-is-the-most-endangered-species-in-Mumbai/articleshow/18746025.cms
2. http://www.afternoondc.in/rti/city-should-address-pedestrian-safety-issues/article_102717
3. http://www.hindustantimes.com/india-news/mumbai/smooth-walk-for-south-mumbai-pedestrians/article1-715889.aspx</t>
  </si>
  <si>
    <t>1. http://www.delhimetrorail.com/whatnew_details.aspx?id=zAIjqicmXh8lld</t>
  </si>
  <si>
    <t>http://www.ki.se/csp/pdf/applicationreports/district10_en.pdf (Pg.23)</t>
  </si>
  <si>
    <t>1. http://newsfeed.time.com/2010/09/08/the-worlds-most-deadly-cities-for-pedestrians/
2. http://ajw.asahi.com/article/sci_tech/technology/AJ201310150085
3. http://www.tokyobybike.com/2009/04/one-week-pedestrian-safety-blitz.html</t>
  </si>
  <si>
    <t>1. http://newsfeed.time.com/2010/09/08/the-worlds-most-deadly-cities-for-pedestrians/
2. http://ajw.asahi.com/article/sci_tech/technology/AJ201310150085
3. https://www.police.pref.osaka.jp/17language/english/02kotsu/index.html</t>
  </si>
  <si>
    <t xml:space="preserve">http://www.police.gov.sg/stats/traffic2013.html?_ga=1.197352687.1753875088.1410333926
</t>
  </si>
  <si>
    <t>1. http://www.koreatimes.co.kr/www/news/culture/2014/09/203_155129.html
2. http://www.02b.com/en/notices/2014/02/urban_beautification_in_barcelona_seoul_did_it_a_decade_ago_6496.php</t>
  </si>
  <si>
    <t>http://ebook.taipei.gov.tw/yearbook/2011/fscommand/2011taipei_en.pdf (Pg.120)
http://ebook.taipei.gov.tw/yearbook/2012/En/index.html#119/z</t>
  </si>
  <si>
    <t xml:space="preserve">1. http://www.google.com/url?url=http://siteresources.worldbank.org/INTTHAILAND/Resources/333200-1089943634036/475256-1232532308749/5753865-1233043441528/presentation-jitendra_shah.ppt&amp;rct=j&amp;frm=1&amp;q=&amp;esrc=s&amp;sa=U&amp;ei=B5ERVNXACsG7igLp64GQBA&amp;ved=0CEcQFjAJ&amp;usg=AFQjCNFl_ofAq1l0Fkhs_tnyPh-AEmZdyg
2. http://cleanairinitiative.org/portal/node/4238
</t>
  </si>
  <si>
    <t>http://www.vietnamonline.com/news/ho-chi-minh-city-planning-first-pedestrian-friendly-streets.html</t>
  </si>
  <si>
    <t>http://www.experience-arabia.com/index.php?option=com_k2&amp;view=item&amp;id=190:kuwait-in-8-hours&amp;Itemid=293</t>
  </si>
  <si>
    <t>1. http://www.gulf-times.com/qatar/178/details/351636/pedestrian-deaths-on-the-rise-in-qatar</t>
  </si>
  <si>
    <t>1. http://faculty.ksu.edu.sa/AlGadhi/Documents/44_In-Depth%20Analysis%20of%20Pedestrian%20Crashes%20in%20Riyadh.pdf (Page 3, 6)
2. http://www.greenprophet.com/2010/03/saudi-arabia-death-toll-driving/</t>
  </si>
  <si>
    <t>1. http://www.thenational.ae/opinion/editorial/make-abu-dhabi-more-pedestrian-friendly
2. http://www.utilities-me.com/article-2819-abu-dhabi-planner-eases-the-way-for-pedestrians/</t>
  </si>
  <si>
    <t>1. http://www.brussels.be/artdet.cfm/4364
2. http://www.brussels.be/artdet.cfm/6742
3. http://www.polisnetwork.eu/uploads/Modules/PublicDocuments/schmitz_brussels-pedestrian-city-2040.pdf</t>
  </si>
  <si>
    <t>1. https://www.raisethehammer.org/article/2191/paris_to_implement_city-wide_30_kmh_speed_limit
2. http://www.npr.org/blogs/parallels/2013/10/22/239860354/paris-traffic-cutting-gamble-charms-pedestrians-irks-drivers
3. http://sustainablecitiescollective.com/global-site-plans-grid/209516/pedestrian-blues-walking-paris-france</t>
  </si>
  <si>
    <t>http://contemporarycity.org/2014/04/frankfurt-am-main/</t>
  </si>
  <si>
    <t>1. http://www.npr.org/blogs/parallels/2013/08/09/210482834/romes-new-mayor-wants-the-monuments-pedestrian-friendly
2. http://www.italytravel.com/2014/08/romes-spanish-steps-now-more-pedestrian-friendly/</t>
  </si>
  <si>
    <t>http://www.epomm.eu/endurance/downloads/1st_EU_Conference_on_SUMP/City%20session%20-%20Stefano%20Riazzola%20-%20Milan.pdf
https://www.theaa.com/public_affairs/reports/aa-pedestrian-crossings-survey-in-europe.pdf</t>
  </si>
  <si>
    <t>http://ec.europa.eu/environment/europeangreencapital/winning-cities/previous-finalists/amsterdam/</t>
  </si>
  <si>
    <t>1. http://themoscownews.com/local/20130709/191751510/A-Guide-to-Moscows-New-Pedestrian-Areas-.html
2. http://rbth.com/society/2013/08/04/moscow_plans_thirty_new_pedestrian_areas_for_this_fall_28643.html</t>
  </si>
  <si>
    <t>http://www.citylab.com/commute/2013/12/madrids-big-plan-swear-cars/7744/</t>
  </si>
  <si>
    <t>http://memographer.com/2014/08/barcelona-street-photography-thanks-to-1992-olympics/</t>
  </si>
  <si>
    <t>1. http://www.zurich4you.ch/city_plans_new_pedestrian_friendly_square.html?PHPSESSID=b638176f22ad415964bf81c863b2b9ac
2. https://www.alumni.tu-berlin.de/fileadmin/Redaktion/ABZ/PDF/TUI/67/TUI67_Wlodarczyk.pdf
3. http://www.walk21.com/papers/Zurich%2005%20Waser%20Everyday%20walking%20culture%20in%20Zurich.pdf</t>
  </si>
  <si>
    <t>1. http://thecityfix.com/blog/a-pedestrian-city/
2. http://www.wri.org/news/2014/06/release-michael-r-bloomberg-visits-istanbul%E2%80%99s-pedestrian-friendly-historic-peninsula
3. http://sustainablecitiescollective.com/embarq/259231/peninsulas-and-public-spaces-pedestrianization-istanbul</t>
  </si>
  <si>
    <t>1. http://www.socialstudiesforkids.com/articles/currentevents/smartcrossinglights.htm
2. https://www.london.ca/newsroom/Pages/Walk-Friendly-Community.aspx</t>
  </si>
  <si>
    <t>1. http://knoema.com/HDR2013/human-development-report-1980-2012?location=1000570-ethiopia
2. http://www.uneca.org/sites/default/files/page_attachments/ethiopia-country_report_august_2012.pdf</t>
  </si>
  <si>
    <t>http://www.preventionweb.net/english/countries/statistics/?cid=160</t>
  </si>
  <si>
    <t>http://www.crossmap.com/news/top-10-disasters-in-2013-a-glimpse-into-recovery-and-preparedness-5676</t>
  </si>
  <si>
    <t>http://www.preventionweb.net/english/countries/statistics/?cid=24</t>
  </si>
  <si>
    <t>http://www.nws.noaa.gov/om/hazstats/state13.pdf
http://www.nws.noaa.gov/om/hazstats.shtml</t>
  </si>
  <si>
    <t>http://coverhound.com/blog/post/san-francisco-earthquakes-and-insurance-oh-my</t>
  </si>
  <si>
    <t>http://www.preventionweb.net/english/countries/statistics/?cid=31</t>
  </si>
  <si>
    <t>http://www.nbcnews.com/business/real-estate/10-states-most-natural-disasters-f6C10088195
http://www.nws.noaa.gov/om/hazstats/state13.pdf</t>
  </si>
  <si>
    <t>http://www.preventionweb.net/english/countries/statistics/?cid=112</t>
  </si>
  <si>
    <t>http://www.preventionweb.net/english/countries/statistics/?cid=134</t>
  </si>
  <si>
    <t>http://www.preventionweb.net/english/countries/statistics/?cid=35</t>
  </si>
  <si>
    <t>http://www.emdat.be/advanced_search/index.html</t>
  </si>
  <si>
    <t>http://www.preventionweb.net/english/countries/statistics/?cid=9</t>
  </si>
  <si>
    <t>http://www.stats.gov.cn/tjsj/ndsj/2013/html/Z0729E.HTM</t>
  </si>
  <si>
    <t>http://www.preventionweb.net/english/countries/statistics/?cid=36</t>
  </si>
  <si>
    <t>1. http://www.stats.gov.cn/tjsj/ndsj/2013/html/Z0729E.HTM
2. http://www.fastcoexist.com/3017696/the-cities-most-at-risk-to-be-destroyed-by-earthquakes-floods-and-storms</t>
  </si>
  <si>
    <t>1. http://ncrb.gov.in/CD-ADSI-2012/ADSI2012.pdf (Pages 77, 79, 81, 83, 85 and 87)</t>
  </si>
  <si>
    <t>http://www.iatss.or.jp/common/pdf/en/publication/iatss-research/33-2-11.pdf        ( page 1)
http://www.evi.com/q/population_of_jakarta</t>
  </si>
  <si>
    <t>http://www.preventionweb.net/english/countries/statistics/?cid=81</t>
  </si>
  <si>
    <t>http://www.stat.go.jp/english/data/handbook/c0117.htm</t>
  </si>
  <si>
    <t>http://www.preventionweb.net/english/countries/statistics/?cid=87</t>
  </si>
  <si>
    <t>http://www.preventionweb.net/english/countries/statistics/?cid=155</t>
  </si>
  <si>
    <t>http://www.google.com/url?sa=t&amp;rct=j&amp;q=&amp;esrc=s&amp;frm=1&amp;source=web&amp;cd=5&amp;cad=rja&amp;uact=8&amp;ved=0CDYQFjAE&amp;url=http%3A%2F%2Fenglish.seoul.go.kr%2Fwp-content%2Fuploads%2F2014%2F03%2FTransportation%2520Statistics_E.rtf&amp;ei=WjQQVOn9BMuwyASXmIDIDA&amp;usg=AFQjCNE3G40kcnf4C0V8-u0aii469-Ld0A&amp;bvm=bv.74649129,d.c2E</t>
  </si>
  <si>
    <t>http://www.preventionweb.net/english/countries/statistics/?cid=245</t>
  </si>
  <si>
    <t>http://factsanddetails.com/southeast-asia/Vietnam/sub5_9h/entry-3489.html</t>
  </si>
  <si>
    <t>http://www.preventionweb.net/english/countries/statistics/?cid=92</t>
  </si>
  <si>
    <t>1. http://www.emdat.be/advanced_search/index.html
2. http://dohanews.co/un-report-out-of-173-nations-qatar-least-vulnerable/</t>
  </si>
  <si>
    <t>1. https://training.fema.gov/EMIWeb/edu/Comparative%20EM%20Book%20-%20EM%20in%20Saudi%20Arabia.pdf (Page 10, 12)</t>
  </si>
  <si>
    <t>1. http://www.emdat.be/advanced_search/index.html</t>
  </si>
  <si>
    <t>http://www.preventionweb.net/english/countries/statistics/?cid=66</t>
  </si>
  <si>
    <t>http://www.preventionweb.net/english/countries/statistics/?cid=85</t>
  </si>
  <si>
    <t>1. http://www.emdat.be/advanced_search/index.html
2. http://www.reuters.com/article/2011/03/09/us-climate-russia-heat-idUSTRE7287DS20110309</t>
  </si>
  <si>
    <t>http://www.preventionweb.net/english/countries/statistics/?cid=161</t>
  </si>
  <si>
    <t>http://www.preventionweb.net/english/countries/statistics/?cid=167</t>
  </si>
  <si>
    <t>http://www.preventionweb.net/english/countries/statistics/?cid=177</t>
  </si>
  <si>
    <t>http://www.preventionweb.net/english/countries/statistics/?cid=183</t>
  </si>
  <si>
    <t>http://www.livescience.com/43462-countries-crash-death-rates.html</t>
  </si>
  <si>
    <t>1. http://www.timeslive.co.za/thetimes/2014/09/09/sa-s-deadly-numbers-game
2. http://www.tradingeconomics.com/south-africa/population</t>
  </si>
  <si>
    <t>1. http://www.luchemos.org.ar/en/statistics/number-of-deaths-in-argentina-during-2013
2. http://worldpopulationreview.com/world-cities/buenos-aires-population/</t>
  </si>
  <si>
    <t>1. http://ebook.taipei.gov.tw/yearbook/2012/En/index.html#354/z (Pg. 354)</t>
  </si>
  <si>
    <t>1. http://riotimesonline.com/brazil-news/rio-politics/traffic-accidents-increase-on-rio-roads/
2. https://www.evi.com/q/population_of_rio_de_janeiro_in_2012</t>
  </si>
  <si>
    <t>http://www.chp.ca.gov/switrs/pdf/2012-quick.pdf
http://www.bizjournals.com/bizjournals/on-numbers/scott-thomas/2012/06/californias-population-passes-38.html</t>
  </si>
  <si>
    <t>1. http://www.city-data.com/accidents/acc-San-Francisco-California.html
2. http://www.bayareacensus.ca.gov/counties/SanFranciscoCounty.htm</t>
  </si>
  <si>
    <t>1. http://www.bcbarristers.com/blog/2012/03/city-of-toronto-has-about-12000-car-accidents-per-year.shtml
2. http://worldpopulationreview.com/countries/canada-population/</t>
  </si>
  <si>
    <t>1. http://ccmta.ca/images/pdf-documents-english/police-partnership-award/2010_submissions/4_-_Montreal_Police_Service_English.pdf
2. http://www.fgmtl.org/en/vitalsigns2010/overview.php</t>
  </si>
  <si>
    <t>http://www.city-data.com/accidents/acc-Chicago-Illinois.html</t>
  </si>
  <si>
    <t>http://laht.com/article.asp?ArticleId=385814&amp;CategoryId=14091
http://www.worldpopulationstatistics.com/population-of-mexico-2014/</t>
  </si>
  <si>
    <t>http://discovery-origin.ctvdigital.net/Article.aspx?aid=52319</t>
  </si>
  <si>
    <t>http://www.econlib.org/library/Columns/y2008/Mungerbus.html</t>
  </si>
  <si>
    <t>http://dmv.ny.gov/statistic/2012nyc.pdf
http://www.infoplease.com/ipa/A0763098.html</t>
  </si>
  <si>
    <t>http://ddot.dc.gov/sites/default/files/dc/sites/ddot/publication/attachments/2014-07-16%20Final%20Crash%20Report%202010%20to%202012_0.pdf
http://www.infoplease.com/ipa/A0108620.html</t>
  </si>
  <si>
    <t>1. http://roadsafety.transport.nsw.gov.au/downloads/crashstats2012.pdf (page 16)
2. http://www.evi.com/q/population_of_sydney_2012</t>
  </si>
  <si>
    <t>1. http://www.police.vic.gov.au/annualreports/ebooks/2012/index.html#/24/zoomed
2. http://worldpopulationreview.com/countries/australia-population/</t>
  </si>
  <si>
    <t>1. http://www.censtatd.gov.hk/hkstat/sub/sp130.jsp?productCode=FA100071
2. http://worldpopulationreview.com/countries/hong-kong-population/</t>
  </si>
  <si>
    <t>http://www.statista.com/statistics/224555/number-of-traffic-accidents-in-china-by-province/
http://worldpopulationreview.com/world-cities/shanghai-population/</t>
  </si>
  <si>
    <t>http://usa.chinadaily.com.cn/china/2014-01/05/content_17216486.htm</t>
  </si>
  <si>
    <t>1. http://www.wantinews.com/news-8453726-Guangzhou-traffic-accidents-down-34-mortality-halved.html
2. http://worldpopulationreview.com/world-cities/guangzhou-population/</t>
  </si>
  <si>
    <t>http://www.statista.com/statistics/224555/number-of-traffic-accidents-in-china-by-province/</t>
  </si>
  <si>
    <t>1. http://ncrb.gov.in/CD-ADSI-2012/ADSI2012.pdf (Page 69)</t>
  </si>
  <si>
    <t>http://www.bbc.com/news/world-middle-east-15841444</t>
  </si>
  <si>
    <t>1. http://www.keishicho.metro.tokyo.jp/foreign/graph2011/10_jiko.htm</t>
  </si>
  <si>
    <t>http://www.e-stat.go.jp/SG1/estat/ListE.do?bid=000001052146&amp;cycode=0 - (Safety Excel)
http://www.e-stat.go.jp/SG1/estat/ListE.do?bid=000001052147&amp;cycode=0</t>
  </si>
  <si>
    <t>1. http://www.google.com/url?sa=t&amp;rct=j&amp;q=&amp;esrc=s&amp;frm=1&amp;source=web&amp;cd=5&amp;cad=rja&amp;uact=8&amp;ved=0CDYQFjAE&amp;url=http%3A%2F%2Fenglish.seoul.go.kr%2Fwp-content%2Fuploads%2F2014%2F03%2FTransportation%2520Statistics_E.rtf&amp;ei=WjQQVOn9BMuwyASXmIDIDA&amp;usg=AFQjCNE3G40kcnf4C0V8-u0aii469-Ld0A&amp;bvm=bv.74649129,d.c2E
2. http://kojects.com/2013/05/23/road-safety-in-korea/</t>
  </si>
  <si>
    <t xml:space="preserve">http://ebook.taipei.gov.tw/yearbook/2012/En/index.html#7/z - (pg. 7)
http://ebook.taipei.gov.tw/yearbook/2012/En/index.html#119/z (Pg.347)
</t>
  </si>
  <si>
    <t>http://bk.asia-city.com/city-living/article/27-ways-die-bangkok
http://www.evi.com/q/population_of_bangkok_2012</t>
  </si>
  <si>
    <t>1. http://www.thanhniennews.com/society/traffic-accidents-kill-80-during-tet-in-vietnam-24034.html
2. http://www.worldpopulationstatistics.com/vietnam-population-2013/</t>
  </si>
  <si>
    <t>1. http://vhi.exodus.ie/profile.asp?country=KUWAIT
2. http://www.indexmundi.com/kuwait/population.html</t>
  </si>
  <si>
    <t>1. http://dohanews.co/moi-qatars-roads-saw-more-cars-more-accidents-and/</t>
  </si>
  <si>
    <t>1. http://faculty.ksu.edu.sa/AlGadhi/Documents/44_In-Depth%20Analysis%20of%20Pedestrian%20Crashes%20in%20Riyadh.pdf (Page 3)
2. http://www.indexmundi.com/saudi_arabia/population.html</t>
  </si>
  <si>
    <t>1. http://gulfnews.com/news/gulf/uae/abu-dhabi-road-accident-deaths-drop-30-in-five-years-1.1310328
2. http://gulfnews.com/news/gulf/uae/general/abu-dhabi-population-tops-2-5m-in-2013-1.1184986</t>
  </si>
  <si>
    <t>1. http://www.statistics.irisnet.be/themes/mobility-and-transport (Road Safety)
2. http://www.statistics.irisnet.be/themes/population/population (Annual Change)</t>
  </si>
  <si>
    <t>1. http://www.internationaltransportforum.org/pub/pdf/13IrtadReport.pdf (Page 187, 190)</t>
  </si>
  <si>
    <t>1. https://www.destatis.de/EN/FactsFigures/EconomicSectors/TransportTraffic/TrafficAccidents/TrafficAccidents2013.html;jsessionid=9C75029EDCECE531AEFBF5A2B9EC1975.cae4
2. http://www.worldpopulationstatistics.com/germany-population/</t>
  </si>
  <si>
    <t>1. http://www.eurorap.org/knowledge-base/news-homepage/2014/road-accidents-on-the-primary-road-network-in-italy-2012/
2. http://www.statista.com/statistics/263745/total-population-of-italy/</t>
  </si>
  <si>
    <t>http://dati.istat.it/?lang=en</t>
  </si>
  <si>
    <t>http://www.iamexpat.nl/read-and-discuss/expat-page/news/cyclist-deaths-not-falling-netherlands</t>
  </si>
  <si>
    <t>1. http://www.russiaslam.com/2013/stories/is-driving-in-russia-safer-than-in-america.html</t>
  </si>
  <si>
    <t>1. https://www.osac.gov/pages/ContentReportDetails.aspx?cid=15065
2. http://www.tradingeconomics.com/spain/population</t>
  </si>
  <si>
    <t>http://www.worldhighways.com/categories/traffic-focus-highway-management/news/switzerland-sees-21-drop-in-fatal-road-accidents/
http://www.bfs.admin.ch/bfs/portal/en/index/themen/01/22/press.html?pressID=9395</t>
  </si>
  <si>
    <t>http://www.who.int/violence_injury_prevention/road_safety_status/country_profiles/turkey.pdf?ua=1</t>
  </si>
  <si>
    <t>1. https://www.gov.uk/government/uploads/system/uploads/attachment_data/file/255125/road-accidents-and-safety-quarterly-estimates-q2-2013.pdf
2. http://www.ons.gov.uk/ons/rel/pop-estimate/population-estimates-for-uk--england-and-wales--scotland-and-northern-ireland/2013/index.html</t>
  </si>
  <si>
    <t>1. http://eprints.qut.edu.au/63884/1/Revised_Characteristics_of_Police.pdf
2. http://www.uneca.org/sites/default/files/page_attachments/ethiopia-country_report_august_2012.pdf</t>
  </si>
  <si>
    <t>1. http://leadsa.co.za/?p=15432
2. http://www.tradingeconomics.com/south-africa/population</t>
  </si>
  <si>
    <t>http://www.fpv.org.co/images/repositorioftp/1.%20Drinking%20and%20Driving%20Global%20Status%20Ward%20Vanlaar.pdf</t>
  </si>
  <si>
    <t>1. http://dialogo-americas.com/en_GB/articles/saii/features/main/2011/10/28/feature-01?change_locale=true
2. https://www.evi.com/q/population_of_sao_paulo_in_2010</t>
  </si>
  <si>
    <t>http://www.chinautc.com/usa/upfile/content/20120604153945780.pdf</t>
  </si>
  <si>
    <t>http://www.nbclosangeles.com/news/local/Los-Angeles-Awards-Grants-to-Three-US-Cities-to-Improve-Pedestrian-Safety-256727231.html
http://quickfacts.census.gov/qfd/states/06/0644000.html</t>
  </si>
  <si>
    <t>1. https://www.sfdph.org/dph/files/trafficsafety/Press_kit_project/contents/Ped_Injury_Fact_Sheet.pdf
2. http://www.worldpopulationstatistics.com/san-francisco-population-2013/</t>
  </si>
  <si>
    <t>1. http://www1.toronto.ca/City%20Of%20Toronto/Transportation%20Services/TMC/Files/PDF/Collisions%20Summaries/Personal%20Injury%20Fatality/PIFCS2012.pdf
2. http://worldpopulationreview.com/countries/canada-population/</t>
  </si>
  <si>
    <t xml:space="preserve">1. http://montreal.ctvnews.ca/road-deaths-down-but-drinking-and-driving-still-a-concern-saaq-stats-1.508793
2. http://www.statcan.gc.ca/tables-tableaux/sum-som/l01/cst01/demo02a-eng.htm
</t>
  </si>
  <si>
    <t>http://apps.who.int/iris/bitstream/10665/79753/1/9789241505352_eng.pdf (Pg. 28)
http://www.who.int/violence_injury_prevention/road_traffic/countrywork/mex/en/
http://www.worldpopulationstatistics.com/population-of-mexico-2014/</t>
  </si>
  <si>
    <t>http://seattletimes.com/html/nationworld/2016716435_apltperuvehicularchaos.html</t>
  </si>
  <si>
    <t>1. http://www.econlib.org/library/Columns/y2008/Mungerbus.html
2. http://books.mongabay.com/population_estimates/full/Santiago-Chile.html</t>
  </si>
  <si>
    <t>1. http://roadsafety.transport.nsw.gov.au/downloads/crashstats2012.pdf (Page 21)
2. http://www.evi.com/q/population_of_sydney_2012</t>
  </si>
  <si>
    <t>1. http://www.roadsafety.vic.gov.au/facts/daily-road-toll.html
2. http://worldpopulationreview.com/countries/australia-population/</t>
  </si>
  <si>
    <t>1. http://www.scmp.com/news/hong-kong/article/1580534/put-pedestrians-first-road-planning
2. http://worldpopulationreview.com/countries/hong-kong-population/</t>
  </si>
  <si>
    <t>http://www.washingtonpost.com/blogs/worldviews/wp/2013/01/18/a-surprising-map-of-countries-that-have-the-most-traffic-deaths/
http://www.hindawi.com/journals/ame/2013/171479/</t>
  </si>
  <si>
    <t>1. http://m.theepochtimes.com/n3/740855-why-china-has-the-highest-traffic-fatalities-in-the-world/
2. http://chinaautoweb.com/2012/03/road-traffic-injuries-caused-62387-deaths-in-china-in-2011/
3. http://data.worldbank.org/indicator/SP.POP.TOTL</t>
  </si>
  <si>
    <t>1. http://www.theepochtimes.com/n3/740855-why-china-has-the-highest-traffic-fatalities-in-the-world/ (under heading: ignoring traffic rules)
2. http://www.wantinews.com/news-8453726-Guangzhou-traffic-accidents-down-34-mortality-halved.html
3. http://worldpopulationreview.com/world-cities/guangzhou-population/</t>
  </si>
  <si>
    <t>1. http://ncrb.gov.in/CD-ADSI-2012/ADSI2012.pdf (Page 67)</t>
  </si>
  <si>
    <t>http://www.iatss.or.jp/common/pdf/en/publication/iatss-research/33-2-11.pdf
http://www.evi.com/q/population_of_jakarta</t>
  </si>
  <si>
    <t>http://www.ite.org/membersonly/itejournal/pdf/2012/JB12DA38.pdf
http://www.indexmundi.com/iran/population.html</t>
  </si>
  <si>
    <t>1. http://www.stat.go.jp/english/data/nenkan/1431-26.htm
2. http://www.japantimes.co.jp/news/2012/05/13/national/media-national/road-death-stats-hide-the-truth/</t>
  </si>
  <si>
    <t>1. http://english.donga.com/srv/service.php3?biid=2014062759828
2. http://www.korea.net/AboutKorea/Korea-at-a-Glance/Facts-about-Korea</t>
  </si>
  <si>
    <t>http://english.dot.taipei.gov.tw/ct.asp?xItem=33468561&amp;ctNode=65619&amp;mp=117002
http://english.taipei.gov.tw/ct.asp?xItem=1084529&amp;ctNode=29491&amp;mp=100002</t>
  </si>
  <si>
    <t>http://www.thaiwebsites.com/caraccidents.asp
http://tripp.iitd.ernet.in/publications/paper/safety/analysis%20of%20road%20traffic%20fatality%20DM.pdf   ( page 3)
http://www.tradingeconomics.com/thailand/population</t>
  </si>
  <si>
    <t>1. http://www.thanhniennews.com/society/in-vietnam-the-grass-is-redder-on-the-other-side-473.html
2. http://news.xinhuanet.com/english/world/2012-12/28/c_132069155.htm</t>
  </si>
  <si>
    <t>1. http://www.rsa.ie/Documents/Road%20Safety/Leaflets/Leaf_booklets/pedestrian_safety_actionplan.pdf
2. http://www.arabianbusiness.com/1-in-10-oman-road-crashes-result-in-fatalities-534150.html</t>
  </si>
  <si>
    <t>1. http://faculty.ksu.edu.sa/AlGadhi/Documents/44_In-Depth%20Analysis%20of%20Pedestrian%20Crashes%20in%20Riyadh.pdf (Page 3)</t>
  </si>
  <si>
    <t>1. http://gulfnews.com/about-gulf-news/al-nisr-portfolio/xpress/news/jaywalkers-flirt-with-death-on-abu-dhabi-roads-1.1329296
2. http://gulfnews.com/news/gulf/uae/general/abu-dhabi-population-tops-2-5m-in-2013-1.1184986</t>
  </si>
  <si>
    <t>1. http://www.newgeography.com/content/002808-world-urban-areas-population-and-density-a-2012-update
2. http://www.ncbi.nlm.nih.gov/pubmed/11803819</t>
  </si>
  <si>
    <t>1. http://www.hcalawyers.com.au/numbers-dont-lie-31-stats-show-that-australians-are-right-to-be-driving-on-left-infographic/
2. https://www.destatis.de/EN/PressServices/Press/pr/2014/02/PE14_064_46241.html
3. http://www.worldpopulationstatistics.com/germany-population/</t>
  </si>
  <si>
    <t>1. http://eurorap.org/partner-countries/italy/
2. http://www.statista.com/statistics/263745/total-population-of-italy/</t>
  </si>
  <si>
    <t>1. http://www.acg.ru/english/traffic_accident_rate_on_decline_in_russia_but_situation_still_tense_-_minister
2. http://worldpopulationreview.com/world-cities/moscow-population/</t>
  </si>
  <si>
    <t>http://www.theleader.info/501/article/42122/record-low-traffic-fatalities-in-2013/</t>
  </si>
  <si>
    <t>1. http://w3.unece.org/pxweb/quickstatistics/readtable.asp?qs_id=59
2. http://populationpyramid.net/spain/</t>
  </si>
  <si>
    <t>http://www.fiafoundation.org/Documents/Road%20Safety/eurotest_final_report_p_crossings_290108_v3.pdf (Pg. 2)</t>
  </si>
  <si>
    <t>http://www.who.int/violence_injury_prevention/road_traffic/countrywork/tur/en/</t>
  </si>
  <si>
    <t>1. http://www.standard.co.uk/news/london/boris-johnson-mayor-under-pressure-to-halt-rise-in-pedestrian-deaths-in-london-9227319.html
2. http://www.tradingeconomics.com/united-kingdom/population</t>
  </si>
  <si>
    <t>http://www.healthcity2013.be/psaa2013/node/97</t>
  </si>
  <si>
    <t>http://mdgs.un.org/unsd/mdg/seriesdetail.aspx?srid=710</t>
  </si>
  <si>
    <t>http://www.quandl.com/c/society/urban-population-in-slums-worldbank-by-country#/c/society/urban-population-in-slums-worldbank-by-country</t>
  </si>
  <si>
    <t>http://blogs.worldbank.org/sustainablecities/no-excuses-slum-upgrading</t>
  </si>
  <si>
    <t>http://riotimesonline.com/brazil-news/rio-politics/rios-favela-population-largest-in-brazil/</t>
  </si>
  <si>
    <t>http://web.stanford.edu/group/scspi/poverty/cpm/CPMBrief_CPI.pdf (Pg. 3)</t>
  </si>
  <si>
    <t>http://www.ibtimes.com/5-biggest-slums-world-381338
http://www.evi.com/q/population_of_mexico_city_2011</t>
  </si>
  <si>
    <t>http://lima-peru.jimdo.com/slums/</t>
  </si>
  <si>
    <t>https://shared.uoit.ca/shared/faculty-sites/sustainability-today/publications/compendium_entries/Santiago.pdf</t>
  </si>
  <si>
    <t>http://www.aq.upm.es/habitabilidadbasica/docs/recursos/monografias/the_challenge_of_slums-(2003).pdf 
Page 228</t>
  </si>
  <si>
    <t>http://www.un.org/esa/population/publications/2011UrbanPopDevEnv_Chart/2011Urban_wallchart.pdf</t>
  </si>
  <si>
    <t>http://included.org/the-work/cities</t>
  </si>
  <si>
    <t>http://online.thatsmags.com/post/china-to-invest-over-162-billion-in-urban-development</t>
  </si>
  <si>
    <t>http://blog.nus.edu.sg/southasiansoundings/2011/01/24/china-india-and-their-slums/</t>
  </si>
  <si>
    <t>1. http://www.indiaonlinepages.com/population/slum-population-in-india.html</t>
  </si>
  <si>
    <t>http://www.unescap.org/stat/data/syb2011/escap-syb2011.pdf (Pg.177)</t>
  </si>
  <si>
    <t>http://www.hic-net.org/articles.php?pid=3466</t>
  </si>
  <si>
    <t>http://sustainabledevelopment.un.org/index.php?page=view&amp;type=400&amp;nr=745&amp;menu=35
https://www.thesingaporepromise.sg/?tabid=1794</t>
  </si>
  <si>
    <t>http://seoulsouthkorea.jimdo.com/slums-shantytowns/</t>
  </si>
  <si>
    <t>https://data.un.org/Data.aspx?d=MDG&amp;f=seriesRowID:710"https://data.un.org/Data.aspx?d=MDG&amp;f=seriesRowID%3A710</t>
  </si>
  <si>
    <t>http://www.borgenmagazine.com/bangkoks-klong-toey-slum/
https://data.un.org/Data.aspx?d=MDG&amp;f=seriesRowID%3A710</t>
  </si>
  <si>
    <t>1. http://global-cities.info/placemarks/ho-chi-minh-city-viet-nam
2. https://www.osac.gov/pages/ContentReportDetails.aspx?cid=13879</t>
  </si>
  <si>
    <t>1. http://gulf-insider.com/doha-housing-shortage-could-create-slums/</t>
  </si>
  <si>
    <t>1. http://www.saudigazette.com.sa/index.cfm?method=home.regcon&amp;contentid=20130207152240</t>
  </si>
  <si>
    <t>http://www.worldmapper.org/posters/worldmapper_map188_ver5.pdf</t>
  </si>
  <si>
    <t>http://coe-romact.org/romact-countries/italy/municipality-file/municipality-file-milan
http://versus.com/en/milan</t>
  </si>
  <si>
    <t>http://books.google.co.in/books?id=F3Ha4Lk_zF4C&amp;pg=PA78&amp;lpg=PA78&amp;dq=No+Slums+in+Netherlands&amp;source=bl&amp;ots=wJ4hkYd7z5&amp;sig=V8mLEiMoE90XC508Smu8q5diiao&amp;hl=en&amp;sa=X&amp;ei=DoERVISZEObmiwK3loDgAg&amp;redir_esc=y#v=onepage&amp;q=No%20Slums%20in%20Netherlands&amp;f=false</t>
  </si>
  <si>
    <t>1. http://www.ucl.ac.uk/dpu-projects/Global_Report/cities/moscow.htm</t>
  </si>
  <si>
    <t>http://www.homelessworldcup.org/content/homelessness-statistics</t>
  </si>
  <si>
    <t>https://data.un.org/Data.aspx?d=MDG&amp;f=seriesRowID%3A710</t>
  </si>
  <si>
    <t>http://www.joburg.org.za/index.php?option=com_content&amp;task=view&amp;id=4420&amp;Itemid=208</t>
  </si>
  <si>
    <t>http://www.taitradio.com/clients/case-studies/sao-paulo-military-police-brazil-case-study</t>
  </si>
  <si>
    <t>1. http://www.truth-out.org/news/item/24248-rio-state-of-mind-favela-pacification-and-the-2014-world-cup
2. http://www.v-brazil.com/government/laws/titleV.html
3. http://wilsoncenter.org/sites/default/files/Paper_Moura_2014.pdf
4. http://worldpopulationreview.com/countries/brazil-population/</t>
  </si>
  <si>
    <t xml:space="preserve">1. http://articles.latimes.com/2013/jan/08/local/la-me-lapd-size-20130108
2. http://losangeles.cbslocal.com/video/10006858-lapd-launches-look-up-campaign-for-national-distracted-driving-awareness-month/
3. http://thesource.metro.net/2010/11/16/see-something-say-something-campaign-launches-in-l-a/
</t>
  </si>
  <si>
    <t xml:space="preserve">1. http://www.governing.com/gov-data/safety-justice/law-enforcement-police-department-employee-totals-for-cities.html
2. http://www.sfgate.com/bayarea/article/SAN-FRANCISCO-Campaign-to-raise-awareness-of-2585142.php
3. http://archives.sfmta.com/cms/apress/SFMTAandSFPDLaunchMuniPSACampaign.htm
4. http://blogs.kqed.org/newsfix/2013/11/07/more-cops-Muni
</t>
  </si>
  <si>
    <t>1. http://www.torontopolice.on.ca/bios/blair.php
2. http://metronews.ca/news/toronto/370503/toronto-crime-down-after-summer-police-blitz-says-chief-bill-blair/</t>
  </si>
  <si>
    <t>1. http://www.spvm.qc.ca/en/Pages/Discover-SPVM/Our-Staff
2. http://www.nytimes.com/2008/08/11/world/americas/11iht-montreal.5.15184658.html?_r=0</t>
  </si>
  <si>
    <t xml:space="preserve">1. http://www.governing.com/gov-data/safety-justice/law-enforcement-police-department-employee-totals-for-cities.html
2. http://chicago.cbslocal.com/2014/05/20/police-prosecutors-welfare-groups-launch-new-campaign-against-sex-trafficking/
3. http://nixle.com/alert/1150627/
4. http://www.lisc-chicago.org/Our-programs/New-Communities-Program/Communities-and-Police-Collaborate-on-Website.html
</t>
  </si>
  <si>
    <t>http://www.wired.com/2013/03/mi-policia-app/</t>
  </si>
  <si>
    <t>http://dialogo-americas.com/en_GB/articles/saii/features/main/2013/09/12/feature-01</t>
  </si>
  <si>
    <t>1. http://www.governing.com/gov-data/safety-justice/law-enforcement-police-department-employee-totals-for-cities.html
2. http://www.metro.us/newyork/news/local/2014/08/10/cops-launch-awareness-campaign-targeting-times-square-characters/
3. http://www.theiacp.org/portals/0/pdfs/buildingtrust.pdf
4. http://www.nycpolicefoundation.org/programs/crime-stoppers/</t>
  </si>
  <si>
    <t>1. http://www.governing.com/gov-data/safety-justice/law-enforcement-police-department-employee-totals-for-cities.html
2. http://www.smartpolicinginitiative.com/library-and-multimedia-resources/top-101-cities-highest-number-police-officers
3. http://dcist.com/2014/08/dc_police_to_participate_in_nationa.php
4. http://mpdc.dc.gov/page/firearm-tip-reward-program
5. http://mpdc.dc.gov/page/citizens-advisory-councils-cac</t>
  </si>
  <si>
    <t>http://www.police.nsw.gov.au/__data/assets/pdf_file/0011/297821/NSW_Police_Force_2012-13_Annual_Report.pdf (Pg. 8)</t>
  </si>
  <si>
    <t>http://www.police.vic.gov.au/content.asp?Document_ID=27790</t>
  </si>
  <si>
    <t>1. http://www.theonlinecitizen.com/2014/03/lack-of-resources-by-singapore-police-to-tackle-increase-in-foreign-workers/
2. http://www.police.gov.hk/ppp_en/03_police_message/engaging.html</t>
  </si>
  <si>
    <t>http://www.nytimes.com/2009/08/28/world/asia/28china.html</t>
  </si>
  <si>
    <t>1. https://www.osac.gov/pages/ContentReportDetails.aspx?cid=12287
2. http://www.saravade.in/Downloads/CommunityPolicing.pdf</t>
  </si>
  <si>
    <t>1. http://www.asianage.com/delhi/7000-posts-delhi-police-lie-vacant-780
2. http://delhipolice.nic.in/home/about/dpcharter.aspx</t>
  </si>
  <si>
    <t>http://www.jclec.com/index.php?option=com_docman&amp;task=cat_view&amp;gid=113&amp;Itemid=42 (Download Annual Report 2013)</t>
  </si>
  <si>
    <t>http://www.signalfire.org/?p=393</t>
  </si>
  <si>
    <t>1. http://www.keishicho.metro.tokyo.jp/foreign/graph2011/01_sosiki.htm
2. https://www.npa.go.jp/english/seisaku1/JapaneseCommunityPolice.pdf
3. http://www.webcitation.org/65U3tTSY3</t>
  </si>
  <si>
    <t>https://www.police.pref.osaka.jp/17language/english/03shikumi/soshiki/index.html</t>
  </si>
  <si>
    <t>1. http://www.police.gov.sg/stats/crimebrief2013.html 
2. http://www.theonlinecitizen.com/2014/03/lack-of-resources-by-singapore-police-to-tackle-increase-in-foreign-workers/</t>
  </si>
  <si>
    <t>1. http://ebook.taipei.gov.tw/yearbook/2012/En/index.html#346/z (Pg 346)
2. http://english.tcpd.taipei.gov.tw/ct.asp?xItem=1119677&amp;ctNode=15860&amp;mp=108002</t>
  </si>
  <si>
    <t>http://web.nso.go.th/en/pub/e_book/YEARBOOK_2013/#/382/zoomed (Pg. 222)</t>
  </si>
  <si>
    <t>http://dohanews.co/moi-creates-new-community-policing-directorate/</t>
  </si>
  <si>
    <t>http://www.paristexas.gov/CivicAlerts.aspx?AID=73&amp;ARC=140&amp;PREVIEW=YES</t>
  </si>
  <si>
    <t>http://img.poliziadistato.it/docs/Compendio_dati_2013.pdf (Pg. 2)</t>
  </si>
  <si>
    <t>http://www.areavibes.com/amsterdam-ny/crime/</t>
  </si>
  <si>
    <t>http://inmoscowsshadows.wordpress.com/2013/10/12/is-russia-really-the-worlds-most-heavily-policed-state-no/</t>
  </si>
  <si>
    <t>http://cordis.europa.eu/fp7/ict/netinnovation/deliverables/safecity/safecity-d21.pdf (Pg.22)</t>
  </si>
  <si>
    <t>1. http://www.bcn.cat/estadistica/angles/dades/anuari/cap08/C0802080.htm
2. http://www.idescat.cat/pub/?id=aec&amp;n=900&amp;lang=en</t>
  </si>
  <si>
    <t>http://appsso.eurostat.ec.europa.eu/nui/show.do?dataset=crim_plce&amp;lang=en</t>
  </si>
  <si>
    <t>http://www.todayszaman.com/news-242733-turkey-sees-record-drop-in-crime-rate-police-report-shows.html</t>
  </si>
  <si>
    <t>http://www.cityoflondon.police.uk/about-us/your-right-to-information/Documents/annual-report.pdf
http://www.southyorks.police.uk/help-and-advice/hajj-fraud-awareness
http://content.met.police.uk/News/Met-launches-campaign-to-warn-public-of-street-robbery-risk/1400014283105/1257246745756
http://content.met.police.uk/Campaign/localpolicing</t>
  </si>
  <si>
    <t>1. http://news.bbc.co.uk/2/hi/africa/4413694.stm
2. http://www.country-data.com/cgi-bin/query/r-4548.html</t>
  </si>
  <si>
    <t>http://joburg.org.za/index.php?option=com_content&amp;task=view&amp;id=88&amp;Itemid=75</t>
  </si>
  <si>
    <t>http://www.sfgate.com/entertainment/dayinpictures/slideshow/Day-in-Pictures-Aug-28-2014-92491/photo-6782746.php</t>
  </si>
  <si>
    <t>http://www.abc.net.au/news/2014-06-10/brazilian-police-fire-tear-gas-to-disperse-protesters-supportin/5511114</t>
  </si>
  <si>
    <t>http://www.truth-out.org/news/item/24248-rio-state-of-mind-favela-pacification-and-the-2014-world-cup</t>
  </si>
  <si>
    <t>http://www.lapdonline.org/support_lapd/content_basic_view/731</t>
  </si>
  <si>
    <t xml:space="preserve">http://administrative.sanfranciscocode.org/2A/IV/2A.83/
</t>
  </si>
  <si>
    <t>1. http://www.torontopolice.on.ca/traffic/hp.php
2. http://torontopoliceguide.ca/pdf/A%20Guide%20to%20Police%20Services%20in%20Toronto%20English%20transcript.pdf</t>
  </si>
  <si>
    <t>http://www.spvm.qc.ca/en/Pages/Discover-SPVM/Discover-Police-Work/Patrolling</t>
  </si>
  <si>
    <t>https://portal.chicagopolice.org/portal/page/portal/ClearPath/Get%20Involved</t>
  </si>
  <si>
    <t>1. http://www.theatlantic.com/international/archive/2013/02/from-bullets-to-bistros-the-mexico-city-miracle/272870/
2. http://www.wired.com/2013/03/mi-policia-app/</t>
  </si>
  <si>
    <t>1. http://goperu.about.com/od/healthandsafety/ss/Peruvian-Tourist-Police.htm
2. http://dialogo-americas.com/en_GB/articles/saii/features/main/2013/09/12/feature-01</t>
  </si>
  <si>
    <t>http://www.beaumontenterprise.com/news/world/slideshow/Images-of-war-1618/photo-6846321.php</t>
  </si>
  <si>
    <t>1. http://www.usccr.gov/pubs/nypolice/ch3.htm
2. http://www.theiacp.org/portals/0/pdfs/buildingtrust.pdf</t>
  </si>
  <si>
    <t>1. http://www.ojjdp.gov/mpg/litreviews/Community_and_Problem_Oriented_Policing.pdf
2. http://mpdc.dc.gov/page/communityoutreach</t>
  </si>
  <si>
    <t>http://www.police.nsw.gov.au/__data/assets/pdf_file/0011/297821/NSW_Police_Force_2012-13_Annual_Report.pdf (Pg. 10)</t>
  </si>
  <si>
    <t>http://ptv.vic.gov.au/getting-around/travelling-safely/train-safety/victoria-police-protective-services-officers/</t>
  </si>
  <si>
    <t>1. http://hk-magazine.com/city-living/article/hong-kong-police
2. http://www.police.gov.hk/offbeat/1011/eng/1293.html</t>
  </si>
  <si>
    <t>http://www.saravade.in/Downloads/CommunityPolicing.pdf (Pg. 2)</t>
  </si>
  <si>
    <t>1. http://timesofindia.indiatimes.com/city/delhi/Delhi-Police-officials-now-to-be-seen-riding-bicycles/articleshow/41544716.cms
2. http://www.newindianexpress.com/nation/Delhi-Police-to-get-370-more-patrol-vans/2013/06/19/article1642667.ece</t>
  </si>
  <si>
    <t>1. http://asiafoundation.org/news/2007/09/reducing-crime-and-building-trust-through-community-oriented-policing-in-indonesia/
2. http://asiafoundation.org/resources/pdfs/indocommpolicingeng.pdf</t>
  </si>
  <si>
    <t>http://www.theguardian.com/world/iran-blog/2014/jun/19/iran-morality-police-patrol</t>
  </si>
  <si>
    <t>http://www.keishicho.metro.tokyo.jp/foreign/graph2011/04_tiiki.htm</t>
  </si>
  <si>
    <t>https://www.police.pref.osaka.jp/17language/english/01sogo/sonota/02/chiiki02_1.html</t>
  </si>
  <si>
    <t>1. http://www.police.gov.sg/stats/crimebrief2013.html
2. http://www.police.gov.sg/sites/cops/</t>
  </si>
  <si>
    <t>1. http://www.koreaherald.com/view.php?ud=20100830000747
2. http://edition.cnn.com/2013/10/17/travel/seoul-tourist-police-gangnam/</t>
  </si>
  <si>
    <t>1. http://www.taipeitravel.net/frontsite/en/cms/cmsAction.do?method=goCMSDetail&amp;menuId=1030103&amp;contentId=7204
2. http://english.tcpd.taipei.gov.tw/ct.asp?xItem=1071992&amp;ctNode=15854&amp;mp=108002</t>
  </si>
  <si>
    <t>1. http://www.pattayamail.com/news/dpm-chalerm-and-national-police-chief-on-night-patrol-at-khao-san-road-26627
2. http://www.mongabay.com/history/thailand/thailand-metropolitan_police.html</t>
  </si>
  <si>
    <t>http://www.tasa.org.au/conferences/conferencepapers09/papers/McKernan,%20Helen.pdf</t>
  </si>
  <si>
    <t>1. http://www.arabtimesonline.com/NewsDetails/tabid/96/smid/414/ArticleID/209340/reftab/73/Default.aspx
2. http://www.indiansinkuwait.com/ShowArticle.aspx?ID=30771&amp;SECTION=0
3. http://www.tiptopjob.com/search/jobs-by-role/m/9000348_-government-public-sector/j/police+patrol+officer/c/kwt_-kuwait</t>
  </si>
  <si>
    <t>http://www.blueabaya.com/2010/05/muttawa-haia-religious-police.html</t>
  </si>
  <si>
    <t>http://gulfnews.com/news/gulf/uae/crime/expats-can-join-community-policing-1.1246508</t>
  </si>
  <si>
    <t>http://www.brussels.be/artdet.cfm/6970</t>
  </si>
  <si>
    <t>1. http://www.reuters.com/article/2014/05/14/us-france-china-tourists-idUSKBN0DU1A120140514
2. http://www.thelocal.fr/20130115/terror-threat-prompts-france-to-deploy-troops-in-paris</t>
  </si>
  <si>
    <t>http://www.german-way.com/history-and-culture/germany/the-police/</t>
  </si>
  <si>
    <t>http://www.telecompaper.com/news/telecom-italia-starts-wireless-patrol-with-rome-police--799208</t>
  </si>
  <si>
    <t>http://www.heritage.com/articles/2013/08/05/milan_news_leader/news/doc51f80f903412c414944766.txt</t>
  </si>
  <si>
    <t>http://www.dutchamsterdam.nl/115-pickpockets-fake-police-amsterdam</t>
  </si>
  <si>
    <t>1. http://en.travel.mos.ru/what/welcome/news/text9160.html
2. http://www.telegraph.co.uk/news/worldnews/europe/russia/9675356/Cossacks-to-take-on-Moscows-street-vendors.html</t>
  </si>
  <si>
    <t>1. http://www.madridiowa.org/MPD/Policehistory.htm
2. http://cordis.europa.eu/fp7/ict/netinnovation/deliverables/safecity/safecity-d21.pdf (Pg 24)</t>
  </si>
  <si>
    <t>http://w110.bcn.cat/SeguretatIPrevencio/Continguts/WWW_FOLL_WELCOME_BCN_%28eng%29.pdf</t>
  </si>
  <si>
    <t>1. http://www.swissinfo.ch/eng/police-skaters-keep-up-with-crime/4627590
2. http://www.cisco.com/c/en/us/products/collateral/routers/3200-series-rugged-integrated-services-routers-isr/prod_case_study0900aecd80695c7f.html</t>
  </si>
  <si>
    <t>http://rt.com/news/taksim-water-cannon-erdogan-115/</t>
  </si>
  <si>
    <t>1. http://www.cityoflondon.police.uk/community-policing/Pages/About-community-policing.aspx
2. http://www.cityoflondon.police.uk/contact-city-police/online-services-and-alerts/Pages/default.aspx</t>
  </si>
  <si>
    <t>http://www.saps.gov.za/resource_centre/publications/statistics/crimestats/2013/crime_stats.php</t>
  </si>
  <si>
    <t>1. https://www.osac.gov/pages/ContentReportDetails.aspx?cid=13966
2. http://www.economist.com/blogs/americasview/2014/03/police-violence-brazil
3. http://www.policiamilitar.rj.gov.br/
4. http://evahershaw.com/2014/05/15/violence-in-rio-spikes/</t>
  </si>
  <si>
    <t>http://www.lapdonline.org/crime_mapping_and_compstat/content_basic_view/9098</t>
  </si>
  <si>
    <t>1. http://www.sf-police.org/index.aspx?page=3254
2. http://www.neighborhoodscout.com/ca/san-francisco/crime/</t>
  </si>
  <si>
    <t>http://www.torontopolice.on.ca/publications/files/reports/2012statsreport.pdf</t>
  </si>
  <si>
    <t>http://www.spvm.qc.ca/AnnualReport/2013/</t>
  </si>
  <si>
    <t>https://portal.chicagopolice.org/portal/page/portal/ClearPath/News/Statistical%20Reports/Annual%20Reports</t>
  </si>
  <si>
    <t>1. http://www.limaeasy.com/lima-info/safety-security-situation-lima-peru
2. http://getawaytips.azcentral.com/safe-travel-lima-peru-4879.html
3. http://content.time.com/time/travel/cityguide/article/0,31489,1977548_1977541_1977542,00.html</t>
  </si>
  <si>
    <t>http://www.nyc.gov/html/nypd/html/crime_prevention/crime_statistics.shtml</t>
  </si>
  <si>
    <t>http://mpdc.dc.gov/node/199172</t>
  </si>
  <si>
    <t>http://www.bocsar.nsw.gov.au/agdbasev7wr/_assets/bocsar/m716854l3/nsw_recorded_crime_statistics_june_2014_sa4.pdf</t>
  </si>
  <si>
    <t>http://www.police.vic.gov.au/content.asp?Document_ID=782</t>
  </si>
  <si>
    <t>1. http://www.police.gov.hk/info/doc/police_in_figure/2013_police_in_fig.pdf
2. http://www.censtatd.gov.hk/hkstat/sub/sp140.jsp?productCode=B1010002</t>
  </si>
  <si>
    <t>http://indianexpress.com/article/cities/mumbai/citys-crime-graph-rises-as-rape-extortion-cases-increased-in-2013/</t>
  </si>
  <si>
    <t>http://ncrb.nic.in/CD-CII2012/Statistics2012.pdf</t>
  </si>
  <si>
    <t>https://www.osac.gov/pages/ContentReportDetails.aspx?cid=13578</t>
  </si>
  <si>
    <t>http://www.tehran.ir/portals/0/flipbook/tehran-statistical-yearbook-2011-2012/index.html</t>
  </si>
  <si>
    <t>1. http://www.keishicho.metro.tokyo.jp/foreign/graph2011/07_keiji.htm
2. http://www.npa.go.jp/english/seisaku/Crime_in_Japan_in_2010.pdf</t>
  </si>
  <si>
    <t>http://www.npa.go.jp/english/seisaku/Crime_in_Japan_in_2010.pdf</t>
  </si>
  <si>
    <t>http://www.police.gov.sg/stats/crimebrief2013.html</t>
  </si>
  <si>
    <t>http://yearbook.taipei.gov.tw/mp.asp?mp=100089</t>
  </si>
  <si>
    <t>http://web.nso.go.th/en/pub/e_book/YEARBOOK_2013/#/382/zoomed</t>
  </si>
  <si>
    <t>http://dohanews.co/report-qatar-sees-six-fold-increase-in-crime-in-past/</t>
  </si>
  <si>
    <t>1. http://www.arabnews.com/node/408914
2. http://www.nytimes.com/2014/02/11/opinion/rein-in-the-saudi-religious-police.html?_r=0
3. http://www.independent.co.uk/news/world/middle-east/british-man-and-his-saudi-wife-assaulted-by-religious-police-in-upscale-supermarket-carpark-in-riyadh-9707102.html</t>
  </si>
  <si>
    <t>http://www.scad.ae/SCADDocuments/Statistical%20Yearbook%20of%20Abu%20Dhabi%202011%20-%20Crime%20and%20Justice.pdf</t>
  </si>
  <si>
    <t>http://www.bka.de/nn_205960/sid_372AD13DDC6CBFB9B563A0F22B46F71E/DE/Publikationen/PolizeilicheKriminalstatistik/pks__node.html?__nnn=true</t>
  </si>
  <si>
    <t>1. https://www.osac.gov/pages/ContentReportDetails.aspx?cid=13969
2. http://www.romefile.com/information/crime.php
3. http://www.romebuddy.com/givesadvice/crime.html</t>
  </si>
  <si>
    <t>http://img.poliziadistato.it/docs/Compendio_dati_2013.pdf</t>
  </si>
  <si>
    <t>http://www.dutchamsterdam.nl/162-amsterdam-livability</t>
  </si>
  <si>
    <t>http://www.ine.es/en/prodyser/pubweb/anuarios_mnu_en.htm</t>
  </si>
  <si>
    <t>1. http://www.idescat.cat/en/
2. http://www.bcn.cat/en/ihome.htm</t>
  </si>
  <si>
    <t>http://www.instantcheckmate.com/criminal-records/illinois/lake-zurich/</t>
  </si>
  <si>
    <t>http://www.turkstat.gov.tr/</t>
  </si>
  <si>
    <t>http://www.cityoflondon.police.uk/about-us/your-right-to-information/Documents/annual-report.pdf</t>
  </si>
  <si>
    <t>http://webcache.googleusercontent.com/search?q=cache:SDj1Y9GYvnMJ:https://ungift.org/documents/easternafrica//ToRs/UNODC_POETH_ToR_Crime_Prevention_Ethiopia_National_Consultant.doc+&amp;cd=1&amp;hl=en&amp;ct=clnk</t>
  </si>
  <si>
    <t>http://www.google.com/url?sa=t&amp;rct=j&amp;q=&amp;esrc=s&amp;frm=1&amp;source=web&amp;cd=1&amp;cad=rja&amp;uact=8&amp;ved=0CB0QFjAA&amp;url=http%3A%2F%2Fwww.campbellcollaboration.org%2Flib%2Fdownload%2F2350%2FBraga_Hot_Spots_Policing_Review.pdf&amp;ei=5uUXVKv2EcWAiwK9uoGYCQ&amp;usg=AFQjCNHh18bc1Ktah9ajoP8lvWDVz_Zybw&amp;sig2=aU-ao_pGeVqCa1lFBlFSCQ&amp;bvm=bv.75097201,d.aWw</t>
  </si>
  <si>
    <t>http://www.businessinsider.com/the-lapd-is-predicting-where-crime-will-occur-based-on-computer-analysis-2014-6?IR=T</t>
  </si>
  <si>
    <t>http://edition.cnn.com/2012/07/09/tech/innovation/police-tech/</t>
  </si>
  <si>
    <t>http://www.cbc.ca/toronto/features/crimemap/</t>
  </si>
  <si>
    <t>http://www.wipro.com/blog/predictive-policing-analytics-and-crime-prevention</t>
  </si>
  <si>
    <t>1. http://www.wired.com/2013/03/mi-policia-app/
2. http://www.princeton.edu/successfulsocieties/content/data/policy_note/PN_id243/Policy_Note_ID243.pdf (Page 9)</t>
  </si>
  <si>
    <t>1. http://dialogo-americas.com/en_GB/articles/saii/features/main/2013/09/12/feature-01</t>
  </si>
  <si>
    <t>http://santiagotimes.cl/study-reveals-crime-hotspots-in-eastern-santiago/</t>
  </si>
  <si>
    <t>http://bomarsecurity.com/law-enforcement-using-advanced-analytics/</t>
  </si>
  <si>
    <t xml:space="preserve">1. https://www.ncjrs.gov/pdffiles1/nij/grants/243830.pdf
2. https://www.e-education.psu.edu/files/geog885q/file/Lesson_04/Predicting_Crime_groff.pdf
3. http://www.iso.com/Research-and-Analyses/ISO-Review/Using-GIS-to-Fight-Crime.html
</t>
  </si>
  <si>
    <t>http://www.cio.com.au/article/546402/nsw_police_force_sees_opportunities_predictive_analytics/</t>
  </si>
  <si>
    <t>1. http://www.rmit.edu.au/browse/Our%20Organisation%2FDesign%20and%20Social%20Context%2FSchools%20and%20groups%2FGlobal,%20Urban%20and%20Social%20Studies%2FPrograms%20and%20courses%2FJustice%20and%20Legal%2FNews%2FMelbourne%20Crime%20Mapping%20and%20Analysis%20Conference%202012%2FWorkshops%20and%20Panels/
2. http://www.aic.gov.au/media_library/conferences/olderpeople/kerr.pdf</t>
  </si>
  <si>
    <t>1. http://www.police.gov.hk/ppp_en/11_useful_info/make_award.html
2. http://www.csb.gov.hk/hkgcsb/csn/csn89/89e/close_up_1.html
3. http://hk-magazine.com/city-living/article/hong-kong-police</t>
  </si>
  <si>
    <t>http://www.shanghaidaily.com/metro/Police-think-Big-in-fight-against-petty-crime/shdaily.shtml</t>
  </si>
  <si>
    <t>http://www.ipcsit.com/vol6/26-E049.pdf</t>
  </si>
  <si>
    <t>http://www.csi-sigegov.org/1/40_410.pdf</t>
  </si>
  <si>
    <t>http://hrmars.com/hrmars_papers/Physical-Spatial_Analysis_and_its_role_in_the_Social_Abnormalities_%2812th_Municipality_Region_of_Tehran_City%29.pdf</t>
  </si>
  <si>
    <t>http://europepmc.org/abstract/MED/22901675
http://www.tokyoweekender.com/2012/03/tokyos-crime-hotspots/</t>
  </si>
  <si>
    <t>http://www.telegraph.co.uk/news/1896735/Honda-sat-nav-warns-of-criminals-ahead.html
http://download.springer.com/static/pdf/97/art%253A10.1007%252Fs11417-011-9113-z.pdf?auth66=1411003572_3eecdb0f03087d1e1f3d887811f24661&amp;ext=.pdf</t>
  </si>
  <si>
    <t>http://news.asiaone.com/News/Latest%2BNews/Singapore/Story/A1Story20130121-396818.html</t>
  </si>
  <si>
    <t>http://technical.ly/philly/2014/01/31/safer-korea-philly-police-tech/</t>
  </si>
  <si>
    <t>http://english.tcpd.taipei.gov.tw/ct.asp?xItem=56457172&amp;ctNode=64221&amp;mp=108002</t>
  </si>
  <si>
    <t>http://www.richardbarrow.com/2013/03/bangkoks-most-dangerous-areas-for-crime/</t>
  </si>
  <si>
    <t>1. https://www.osac.gov/Pages/ContentReportDetails.aspx?cid=15215
2. http://dohanews.co/moi-creates-new-community-policing-directorate/ (under heading: community relations)</t>
  </si>
  <si>
    <t>http://www.microsoft.com/middleeast/press/Pages/CaseStudy.aspx?id=38</t>
  </si>
  <si>
    <t>http://www.news-sap.com/sap-police-leaders-explore-data-driven-security-strategies-urbanizing-world/</t>
  </si>
  <si>
    <t>1. http://rutgerscps.weebly.com/uploads/2/7/3/7/27370595/asc2012_rcps_rtmpanels.pdf (Pg. 4)
2. http://grangerpress.businesscatalyst.com/gdn_a-crime-mapping-dossier.html
3. http://transcrime.cs.unitn.it/tc/1028.php</t>
  </si>
  <si>
    <t>http://www.sentient.nl/newspict/poldmInfocusNewsletter_page21_sentientarticle.pdf</t>
  </si>
  <si>
    <t>http://www.catalannewsagency.com/society-science/item/pickpocket-theft-on-barcelona-s-metro-down-by-34-since-2011-as-police-initiative-succeeds
http://volta.pacitaproject.eu/big-data/</t>
  </si>
  <si>
    <t>http://www.todayszaman.com/news-274274-istanbul-police-use-crime-maps-to-fight-crime.html</t>
  </si>
  <si>
    <t>http://www.ibtimes.co.uk/predictive-policing-predpol-future-crime-509891</t>
  </si>
  <si>
    <t>http://webcache.googleusercontent.com/search?q=cache:SDj1Y9GYvnMJ:https://ungift.org/documents/easternafrica//ToRs/UNODC_POETH_ToR_Crime_Prevention_Ethiopia_National_Consultant.doc+&amp;cd=4&amp;hl=en&amp;ct=clnk</t>
  </si>
  <si>
    <t>http://www.gautsafety.gpg.gov.za/Campaign%20and%20Booklets/Gauteng%20Provincial%20Safety%20Strategy%20to%202014.pdf</t>
  </si>
  <si>
    <t>http://www.buenosairesherald.com/article/139080/govt-launches-federal-security-program</t>
  </si>
  <si>
    <t>1. http://edition.cnn.com/2012/12/05/sport/football/brazil-world-cup-security-football/
2. http://www.insightcrime.org/news-analysis/sao-paulo-wants-to-crack-down-on-the-pcc-will-it-work</t>
  </si>
  <si>
    <t>1. http://www.unityoneinc.com/articles/security/security-breaches-at-the-world-cup-cause-increased-security-measures
2. http://www.copa2014.df.gov.br/english/5984-seminar-focuses-security-measures-for-the-world-cup</t>
  </si>
  <si>
    <t>1. http://cpp.fullerton.edu/cpp_policeoversight_report.pdf
2. http://www.lapdonline.org/south_bureau/content_basic_view/47122</t>
  </si>
  <si>
    <t xml:space="preserve">https://www.ncirc.gov/documents/public/reducing_crime_through_ilp.pdf        ( page 45 )
</t>
  </si>
  <si>
    <t>http://www.publicsafety.gc.ca/cnt/nws/nws-rlss/2013/20130124-eng.aspx</t>
  </si>
  <si>
    <t>1. https://crimelab.uchicago.edu/page/about-us
2. http://cebcp.org/evidence-based-policing/what-works-in-policing/research-evidence-review/cctv/</t>
  </si>
  <si>
    <t>http://www.princeton.edu/successfulsocieties/content/data/policy_note/PN_id243/Policy_Note_ID243.pdf (Pages 10, 11)</t>
  </si>
  <si>
    <t xml:space="preserve">1. http://www.dhs.gov/if-you-see-something-say-something%E2%84%A2
2. http://www.nycpolicefoundation.org/programs/crime-stoppers/
3. http://www.dailymail.co.uk/sciencetech/article-2282109/Domain-Awareness-System-Microsoft-help-develop-interactive-crime-fighting-gives-New-York-police-world-data-click-finger.html
</t>
  </si>
  <si>
    <t>1. http://mpdc.dc.gov/node/139582
2. http://mpdc.dc.gov/node/140412</t>
  </si>
  <si>
    <t>1. http://www.police.nsw.gov.au/community_issues/cspc
2. http://www.skynews.com.au/news/local/sydney/2014/09/08/police-seek-help-to-find-nsw-most-wanted.html</t>
  </si>
  <si>
    <t>http://www.justice.vic.gov.au/home/safer+communities/crime+prevention/</t>
  </si>
  <si>
    <t>1. http://www.police.gov.hk/offbeat/947/eng/n09.htm
2. http://www.police.gov.hk/offbeat/957/eng/p01.htm
3. http://www.police.gov.hk/offbeat/963/eng/n11.htm</t>
  </si>
  <si>
    <t>http://www.crikey.com.au/2013/03/08/promises-of-safety-but-delhi-women-still-walk-in-fear/</t>
  </si>
  <si>
    <t>1. http://www.ki.se/csp/pdf/applicationreports/tehran_metro_2013.pdf
2. http://www.phs.ki.se/csp/pdf/applicationreports/district5_en.pdf</t>
  </si>
  <si>
    <t>http://www.webcitation.org/65U3tTSY3</t>
  </si>
  <si>
    <t>http://books.google.co.in/books?id=VWIV51mJ1dEC&amp;pg=PT179&amp;lpg=PT179&amp;dq=%22osaka%22+%2B+community+policing&amp;source=bl&amp;ots=XXKxnBhhxs&amp;sig=5CsFywQOJwa-SrTgVT5Rx0-zpGQ&amp;hl=en&amp;sa=X&amp;ei=gogXVNP-I9O4uAT2k4DICQ&amp;ved=0CEAQ6AEwBQ#v=onepage&amp;q=%22osaka%22%20%20%20community%20policing&amp;f=false</t>
  </si>
  <si>
    <t>http://investing.businessweek.com/research/stocks/private/snapshot.asp?privcapId=9648900</t>
  </si>
  <si>
    <t>http://english.tcpd.taipei.gov.tw/ct.asp?xItem=143033&amp;ctNode=15866&amp;mp=108002</t>
  </si>
  <si>
    <t>1. http://www.tijthailand.org/main/en/content/191.html
2. http://www.tijthailand.org/main/en/content/189.html</t>
  </si>
  <si>
    <t>http://www.securityvietnam.com/english/contactus.htm</t>
  </si>
  <si>
    <t>1. http://dohanews.co/moi-creates-new-community-policing-directorate/ (under heading: community relations)</t>
  </si>
  <si>
    <t>http://bigstory.ap.org/article/extra-security-jewish-monuments-amsterdam</t>
  </si>
  <si>
    <t>1. http://www.telegraph.co.uk/news/worldnews/europe/russia/9675356/Cossacks-to-take-on-Moscows-street-vendors.html</t>
  </si>
  <si>
    <t>http://www.madridiowa.org/MPD/Policehistory.htm</t>
  </si>
  <si>
    <t>http://www.microsoft.com/casestudies/Windows-Server-2012-Datacenter/City-of-Barcelona/Barcelona-Realizes-Vision-of-Innovative-City-Governance-with-Cloud-Devices-and-Apps/710000002984</t>
  </si>
  <si>
    <t>http://www.zurich.co.uk/home/mediacentre/generalinsurancenews/Protect+your+tech+from+burglars.htm</t>
  </si>
  <si>
    <t>https://www.osac.gov/pages/ContentReportDetails.aspx?cid=15181</t>
  </si>
  <si>
    <t>1. http://www.southyorks.police.uk/help-and-advice/hajj-fraud-awareness
2. http://content.met.police.uk/News/Met-launches-campaign-to-warn-public-of-street-robbery-risk/1400014283105/1257246745756
3. http://content.met.police.uk/Campaign/localpolicing
4. https://www.gov.uk/government/uploads/system/uploads/attachment_data/file/118501/fighting-fraud-together.pdf</t>
  </si>
  <si>
    <t>http://www.gunpolicy.org/firearms/region/ethiopia</t>
  </si>
  <si>
    <t>http://www.gunpolicy.org/firearms/region/south-africa
http://www.visionofhumanity.org/#page/indexes/global-peace-index/2013/ZAF/OVER</t>
  </si>
  <si>
    <t>http://www.as-coa.org/articles/explainer-gun-laws-latin-america%E2%80%99s-six-largest-economies#argentina</t>
  </si>
  <si>
    <t>1. http://www.soudapaz.org/upload/pdf/artigoheatherchile_13122011.pdf
2. http://www.insightcrime.org/news-analysis/does-strict-gun-legislation-reduce-violent-crime-in-latam</t>
  </si>
  <si>
    <t>http://www.gunpolicy.org/firearms/region/brazil
http://www.csmonitor.com/World/Americas/2013/0514/Brazil-s-gun-control-debate-Opponents-try-to-shoot-holes-in-disarmament-law
http://www.vivario.org.br/publique/media/The_demand_for_firearms_in_Rio_de_Janeiro_by_Benjamin_Lessing.pdf</t>
  </si>
  <si>
    <t>http://www.calgunlaws.com/lapds-hypocrisy-about-gun-prosecutions/
http://www.washingtontimes.com/news/2013/mar/28/chicago-l-and-nyc-push-hard-gun-control-rank-last-/#!
http://www.visionofhumanity.org/#page/indexes/global-peace-index/2013/USA/OVER
http://www.shouselaw.com/firearm-offenses.html</t>
  </si>
  <si>
    <t>http://www.deseretnews.com/top/1428/0/10-states-with-the-strictest-gun-laws.html#/top/1428/10/California-10-states-with-the-strictest-gun-laws.html
http://www.visionofhumanity.org/#page/indexes/global-peace-index/2013/USA/OVER
http://smartgunlaws.org/local-authority-to-regulate-firearms-policy-summary/
http://www.businessinsider.in/What-The-Rest-Of-America-Can-Learn-From-Californias-Strict-Gun-Laws/articleshow/21666392.cms</t>
  </si>
  <si>
    <t>1. http://www.gunpolicy.org/firearms/region/canada
2. http://www.cbc.ca/news/canada/montreal/illegal-stun-guns-easy-to-get-in-canada-1.915248</t>
  </si>
  <si>
    <t>http://www.cityofchicago.org/content/dam/city/depts/mayor/Press%20Room/Press%20Releases/2014/May/05.27.14TracingGuns.pdf</t>
  </si>
  <si>
    <t>1. http://www.gunpolicy.org/firearms/region/mexico
2. http://www.insightcrime.org/news-briefs/mexico-city-gun-amnesty-success-has-little-impact-murder-rates</t>
  </si>
  <si>
    <t>1. http://www.gunpolicy.org/firearms/region/peru
2. http://www.nationmaster.com/country-info/stats/Crime/Violent-crime/Gun-crime/Guns-per-100-residents</t>
  </si>
  <si>
    <t>http://www.gunpolicy.org/firearms/region/chile</t>
  </si>
  <si>
    <t>http://www.nraila.org/gun-laws/state-laws/new-york.aspx
http://injury.findlaw.com/product-liability/gun-laws.html</t>
  </si>
  <si>
    <t>http://www.washingtonpost.com/local/dc-politics/house-votes-to-block-dc-gun-regulations-in-latest-challenge-to-city-laws/2014/07/16/62e11152-0d0b-11e4-8341-b8072b1e7348_story.html
http://www.nraila.org/gun-laws/state-laws/district-of-columbia.aspx
http://www.gunfacts.info/gun-control-myths/government-gun-laws-and-social-costs/
http://www.visionofhumanity.org/#/page/indexes/global-peace-index</t>
  </si>
  <si>
    <t>1. http://www.police.nsw.gov.au/about_us/structure/operations_command/state_crime_command
2. http://www.gunpolicy.org/firearms/region/australia</t>
  </si>
  <si>
    <t>http://www.police.vic.gov.au/content.asp?Document_ID=34098</t>
  </si>
  <si>
    <t>http://www.police.gov.hk/ppp_en/04_crime_matters/cpa/cpa_at_01.html</t>
  </si>
  <si>
    <t xml:space="preserve">http://www.loc.gov/law/help/firearms-control/china.php
http://www.idigest.com.cn/en/2014-06/27/content_7034078.htm
</t>
  </si>
  <si>
    <t>http://www.loc.gov/law/help/firearms-control/china.php
http://www.idigest.com.cn/en/2014-06/27/content_7034078.htm</t>
  </si>
  <si>
    <t>http://www.gunpolicy.org/firearms/region/india</t>
  </si>
  <si>
    <t>http://www.thejakartaglobe.com/archive/indonesias-police-wont-stop-issuing-civilian-gun-permits/
http://www.thejakartapost.com/news/2012/05/22/why-it-difficult-control-cowboys.html</t>
  </si>
  <si>
    <t>http://english.alarabiya.net/views/2012/12/19/255895.html
http://www.nationmaster.com/country-info/profiles/Iran/Crime/Violent-crime#2014</t>
  </si>
  <si>
    <t>http://www.theatlantic.com/international/archive/2012/07/a-land-without-guns-how-japan-has-virtually-eliminated-shooting-deaths/260189/
http://www.gunpolicy.org/firearms/region/japan
http://www.theguardian.com/news/datablog/2009/oct/13/homicide-rates-country-murder-data</t>
  </si>
  <si>
    <t>http://www.loc.gov/law/help/firearms-control/singapore.php
http://www.gunpolicy.org/firearms/region/singapore
http://www.stasiareport.com/the-big-story/asia-report/singapore/story/singapore-stiff-penalties-unlawful-possession-20130808</t>
  </si>
  <si>
    <t>http://www.gunpolicy.org/firearms/region/south-korea</t>
  </si>
  <si>
    <t>http://www.chinapost.com.tw/taiwan/national/national-news/2009/10/23/229755/Strict-gun.htm</t>
  </si>
  <si>
    <t>http://www.thailawforum.com/database1/thailand-gun-law.html
http://www.thailand-th.net/thailand_gun_laws.html
http://www.bangkokpost.com/news/investigation/321825/easy-gun-access-giving-rise-to-a-wild-west-mentality</t>
  </si>
  <si>
    <t>http://www.visionofhumanity.org/#page/indexes/global-peace-index/2013/VNM/OVER</t>
  </si>
  <si>
    <t>1. http://www.gunpolicy.org/firearms/region/kuwait
2. http://www.arabtimesonline.com/NewsDetails/tabid/96/smid/414/ArticleID/194583/reftab/36/Default.aspx</t>
  </si>
  <si>
    <t>1. http://www.gunpolicy.org/firearms/region/qatar
2. http://www.nationmaster.com/country-info/stats/Crime/Violent-crime/Gun-crime/Guns-per-100-residents
3. http://www.nationmaster.com/country-info/profiles/Qatar/Crime</t>
  </si>
  <si>
    <t>1. http://gulfnews.com/news/gulf/saudi-arabia/saudis-allowed-to-buy-guns-from-private-shops-1.516090</t>
  </si>
  <si>
    <t>http://www.gunpolicy.org/firearms/region/united-arab-emirates</t>
  </si>
  <si>
    <t>http://www.gunpolicy.org/firearms/region/belgium</t>
  </si>
  <si>
    <t>http://www.gunpolicy.org/firearms/region/france</t>
  </si>
  <si>
    <t>http://www.oslo.diplo.de/contentblob/2105474/Daten/287205/Vaapen_DownloadDatei.pdf</t>
  </si>
  <si>
    <t>1. http://www.gunpolicy.org/firearms/region/italy
2. http://www.visionofhumanity.org/#page/indexes/global-peace-index/2013/ITA/OVER</t>
  </si>
  <si>
    <t xml:space="preserve">http://italychronicles.com/9mm-milan/
http://www.gunpolicy.org/firearms/region/italy </t>
  </si>
  <si>
    <t>http://www.gunpolicy.org/firearms/region/netherlands</t>
  </si>
  <si>
    <t>1. http://www.gunpolicy.org/firearms/region/russia
2. http://www.npr.org/blogs/parallels/2013/09/19/224043848/the-u-s-has-more-guns-but-russia-has-more-murders
3. http://themoscownews.com/russia/20130121/191161005.html</t>
  </si>
  <si>
    <t>http://www.loc.gov/law/help/firearms-control/spain.php</t>
  </si>
  <si>
    <t>http://lakezurich.suntimes.com/2013/07/16/lake-zurich-rejects-local-gun-restrictions/</t>
  </si>
  <si>
    <t>http://cn4hs.org/civilian-ownership-of-firearms-in-turkey/
http://www.nationmaster.com/country-info/profiles/Turkey/Crime</t>
  </si>
  <si>
    <t xml:space="preserve">http://www.loc.gov/law/help/firearms-control/greatbritain.php
http://www.visionofhumanity.org/#page/indexes/global-peace-index/2013/GBR/OVER
http://www.gunpolicy.org/firearms/region/united-kingdom
</t>
  </si>
  <si>
    <t>http://debirhan.com/?p=303</t>
  </si>
  <si>
    <t>http://www.economist.com/node/21560313</t>
  </si>
  <si>
    <t>http://dialogo-americas.com/en_GB/articles/rmisa/features/regional_news/2014/02/19/ecstasy-argentina</t>
  </si>
  <si>
    <t>1. https://www.osac.gov/pages/ContentReportDetails.aspx?cid=15094
2. http://www.insightcrime.org/news-analysis/sao-paulo-takes-aim-at-prison-gangs-amid-calls-for-reform</t>
  </si>
  <si>
    <t>http://realtruth.org/articles/100510-005-crime.html
https://www.osac.gov/pages/ContentReportDetails.aspx?cid=15606
http://wilsoncenter.org/sites/default/files/Paper_Moura_2014.pdf</t>
  </si>
  <si>
    <t>http://www.lapdonline.org/get_informed/content_basic_view/1396
http://www.lapdonline.org/crime_mapping_and_compstat/content_basic_view/24435</t>
  </si>
  <si>
    <t>http://www.streetgangs.com/cities/san-francisco#sthash.gK8Xmbuh.dpbs
http://www.fbi.gov/stats-services/publications/2011-national-gang-threat-assessment</t>
  </si>
  <si>
    <t>http://www.theglobeandmail.com/news/toronto/toronto-gangs-smaller-looser-but-packing-more-heat/article4243872/</t>
  </si>
  <si>
    <t>1. http://www.theglobeandmail.com/news/national/in-the-trenches-with-the-montreal-mob/article8156407/
2. http://www.thecanadianencyclopedia.ca/en/article/organized-crime/</t>
  </si>
  <si>
    <t>http://www.cbsnews.com/news/by-the-numbers-chicago-area-gangs/
http://abcnews.go.com/Nightline/fullpage/chicago-gang-violence-numbers-17509042</t>
  </si>
  <si>
    <t>1. http://www.theatlantic.com/international/archive/2013/02/from-bullets-to-bistros-the-mexico-city-miracle/272870/
2. http://www.theatlantic.com/international/archive/2013/02/from-bullets-to-bistros-the-mexico-city-miracle/272870/2/</t>
  </si>
  <si>
    <t>1. http://www.insightcrime.org/news-briefs/lima-street-gang-rivalry-re-emerges-report</t>
  </si>
  <si>
    <t>http://www.insightcrime.org/news-briefs/drug-gangs-neighborhoods-santiago-chile</t>
  </si>
  <si>
    <t>http://www.fbi.gov/stats-services/publications/2011-national-gang-threat-assessment</t>
  </si>
  <si>
    <t xml:space="preserve">http://www.fbi.gov/stats-services/publications/2011-national-gang-threat-assessment
http://www.nij.gov/topics/crime/gangs/pages/activity-prevalence.aspx#note2
</t>
  </si>
  <si>
    <t>1. http://www.abc.net.au/news/2014-06-30/anti-gangs-squad-to-focus-on-middle-eastern-gang-and-bikie-crime/5560416
2. http://www.smh.com.au/federal-politics/political-news/rampant-corruption-crime-gangs-arms-smuggling-drugs-20120524-1z7yf.html</t>
  </si>
  <si>
    <t>http://factsanddetails.com/china/cat8/sub50/item300.html#chapter-3
http://thoughtcatalog.com/michael-koh/2014/02/14-things-you-didnt-know-about-the-triads/
http://www.police.gov.hk/ppp_en/01_about_us/os_cs.html</t>
  </si>
  <si>
    <t>http://china.org.cn/china/local/2007-11/23/content_1232900.htm</t>
  </si>
  <si>
    <t>http://www.chinaipr.gov.cn/newsarticle/news/local/201305/1751013_1.html</t>
  </si>
  <si>
    <t>http://www.lifeofguangzhou.com/node_10/node_37/node_84/2010/07/30/128045483378864.shtml
http://www.shenzhen-standard.com/2011/01/04/police-disbanded-crime-gangs-in-effort-to-fight-crime/</t>
  </si>
  <si>
    <t>http://www.wantinews.com/news-5831796-Survey:-Tianjin-public-security-was-9603-Social-Security.html</t>
  </si>
  <si>
    <t>1) http://www.newindianexpress.com/lifestyle/books/Gangs-of-Mumbai/2014/04/13/article2161435.ece
2) http://www.hindustantimes.com/india-news/underworld-evolution-gunrunning-to-realty/article1-1187259.aspx</t>
  </si>
  <si>
    <t>1. http://www.unafei.or.jp/english/pdf/RS_No59/No59_38PA_Singh.pdf
2. http://hrln.org/hrln/child-rights/pils-a-cases/617-jjb-orders-delhi-police-to-act-tough-on-organised-crime-networks-exploiting-children.html
3. http://timesofindia.indiatimes.com/city/delhi/Delhi-Police-to-book-hard-criminals-under-MCOCA/articleshow/18109890.cms</t>
  </si>
  <si>
    <t>http://www.ynetnews.com/articles/0,7340,L-4325850,00.html
http://warontherocks.com/2013/08/irans-cartel-strategy-the-islamic-revolutionary-guard-corps-in-the-western-hemisphere-2/#_
http://www.tehrantimes.com/politics/102010-160-criminal-gangs-busted-in-tehran-in-6-months
http://tehrantimes.com/politics/94203-intelligence-forces-bust-9-major-drug-gangs-in-iran</t>
  </si>
  <si>
    <t>http://shadowsofsingapore.wordpress.com/living-conditions/organised-crime/
http://books.google.co.in/books?id=3TDxAQAAQBAJ&amp;pg=PA21&amp;lpg=PA21&amp;dq=number+of+members+in+The+Hai+San+Society+in+Singapore&amp;source=bl&amp;ots=ZmZj9kuZ7p&amp;sig=fPiIzp44uoGt00gYuBJHS08P1Oc&amp;hl=en&amp;sa=X&amp;ei=V9YSVIakEKiEjALVmYDIBg&amp;ved=0CDwQ6AEwCA#v=onepage&amp;q=number%20of%20members%20in%20The%20Hai%20San%20Society%20in%20Singapore&amp;f=false
http://www.police.gov.sg/yag/
http://www.police.gov.sg/yag/yag_initiatives.html</t>
  </si>
  <si>
    <t>https://www.osac.gov/pages/ContentReportDetails.aspx?cid=15297
http://www.koreabang.com/2012/stories/the-new-korean-mafia-rise-of-the-backstreet-mobster.html</t>
  </si>
  <si>
    <t>http://www.atimes.com/atimes/China/GF04Ad06.html
http://www.taipeitimes.com/News/taiwan/archives/2004/11/07/2003210002</t>
  </si>
  <si>
    <t>http://www.bangkokpost.com/news/local/432255/22-foreign-gangs-put-down-local-roots</t>
  </si>
  <si>
    <t>http://vietnamnews.vn/politics-laws/257203/deputy-pm-urges-more-effective-crime-measures.html</t>
  </si>
  <si>
    <t>1. http://news.kuwaittimes.net/auto-theft-gang-busted/
2. http://www.arabtimesonline.com/NewsDetails/tabid/96/smid/414/ArticleID/196076/reftab/36/t/Crime-rampant-in-Jleeb-Hawalli-Salmiya/Default.aspx</t>
  </si>
  <si>
    <t>1. https://www.osac.gov/Pages/ContentReportDetails.aspx?cid=15215</t>
  </si>
  <si>
    <t>1. http://gulfnews.com/saudi-criminal-gang-leader-beheaded-in-riyadh-1.57604
2. http://www.arabnews.com/news/606696
3. http://www.aawsat.net/2006/09/article55265142
4. http://www.saudigazette.com.sa/index.cfm?method=home.regcon&amp;contentid=20140905217060</t>
  </si>
  <si>
    <t>http://www.france24.com/en/20140125-organised-crime-targets-french-countryside/#./?&amp;_suid=141092532831307541003686347829</t>
  </si>
  <si>
    <t>http://books.google.co.in/books?id=YEbXAwAAQBAJ&amp;pg=PA83&amp;lpg=PA83&amp;dq=Frankfurt+%2B+criminal+gangs+%2B+organised+crimes&amp;source=bl&amp;ots=vjy_V7lFm8&amp;sig=gBmWIUeQBM3h_gMM8UkfvSlnBjs&amp;hl=en&amp;sa=X&amp;ei=fwQZVOOYI-KJjAKM2IGoBg&amp;redir_esc=y#v=onepage&amp;q=Frankfurt%20%2B%20criminal%20gangs%20%2B%20organised%20crimes&amp;f=false</t>
  </si>
  <si>
    <t>1. http://www.justlanded.com/english/Italy/Articles/Culture/Crime-in-Italy</t>
  </si>
  <si>
    <t>1) http://www.dutchamsterdam.nl/668-amsterdam-deport-criminal-gang-members
2) http://www.dutchamsterdam.nl/847-british-criminals-on-amsterdam-most-wanted-web-site
3) http://amsterdamgang.wordpress.com/2011/02/15/british-and-irish-criminals-in-amsterdam/</t>
  </si>
  <si>
    <t>1. http://www.bunker8.pwp.blueyonder.co.uk/orgcrim/3805b.htm (under heading: the current situation)
2. http://www.dailyrecord.co.uk/news/uk-world-news/russian-mafia-take-over-as-worlds-990671</t>
  </si>
  <si>
    <t>http://drugsinfonewslineireland.wordpress.com/2009/08/28/nine-irish-criminal-gangs-active-across-europe-europol/
http://www.thelocal.es/20140325/spain-cracks-down-on-latin-criminal-gangs</t>
  </si>
  <si>
    <t>1) http://flarenetwork.org/learn/europe/article/albanian_mafia_behind_swiss_heroin_market.htm
2) http://genevalunch.com/2014/02/01/swiss-news-roundup-zurich-child-rapes-hooligans-italian-floods/</t>
  </si>
  <si>
    <t>http://worldpress.org/Europe/2987.cfm
http://www.larouchepub.com/other/2008/3530pkk_terrorists.html
http://hizmetnews.com/8456/gulen-rejects-labeling-hizmet-gang-calls-traitorous/#.VBg-CRZ1ze0</t>
  </si>
  <si>
    <t>http://www.bbc.com/news/uk-25974360
http://www.standard.co.uk/news/crime/london-gang-members-commit-6600-crimes-including-24-murders-in-three-years-9186733.html</t>
  </si>
  <si>
    <t>http://www.business-anti-corruption.com/country-profiles/sub-saharan-africa/ethiopia/show-all.aspx</t>
  </si>
  <si>
    <t>http://www.wingia.com/web/files/news/61/file/61.pdf
http://www.globalpost.com/dispatch/news/regions/africa/south-africa/120509/south-africa-crime-corruption-police-officers-law</t>
  </si>
  <si>
    <t>http://guardianlv.com/2014/04/argentina-and-vigilantism-enough-of-insecurity/</t>
  </si>
  <si>
    <t>http://riotimesonline.com/brazil-news/rio-politics/rios-military-police-most-corrupt/#</t>
  </si>
  <si>
    <t>http://www.insightcrime.org/news-briefs/rio-police-most-corrupt-in-brazil-govt-survey
http://www.hrw.org/world-report/2013/country-chapters/brazil</t>
  </si>
  <si>
    <t>http://www.wingia.com/web/files/news/61/file/61.pdf
http://www.policemisconduct.net/2010-q2-npmsrp-national-police-misconduct-statistical-report/</t>
  </si>
  <si>
    <t>1. http://www.cbc.ca/news/canada/toronto/toronto-police-officers-get-house-arrest-for-corruption-1.1360209
2. http://www.thestar.com/news/gta/2009/12/07/charges_against_police_officers_stayed.html</t>
  </si>
  <si>
    <t xml:space="preserve">http://www.suntimes.com/news/otherviews/17612783-452/police-corruption-cant-be-ignored.html
http://pols.uic.edu/docs/default-source/chicago_politics/anti-corruption_reports/policecorruption.pdf?sfvrsn=2
http://www.washingtonpost.com/blogs/govbeat/wp/2014/01/22/the-most-corrupt-states-in-america/
http://www.wingia.com/web/files/news/61/file/61.pdf
</t>
  </si>
  <si>
    <t>1. http://www.princeton.edu/successfulsocieties/content/data/policy_note/PN_id243/Policy_Note_ID243.pdf (Pages 7,8)</t>
  </si>
  <si>
    <t>1. http://www.numbeo.com/crime/city_result.jsp?country=Peru&amp;city=Lima
2. http://dialogo-americas.com/en_GB/articles/saii/features/main/2013/09/12/feature-01</t>
  </si>
  <si>
    <t>http://www.csmonitor.com/World/Americas/Latin-America-Monitor/2012/0201/Honduras-calls-in-the-police-from-Chile</t>
  </si>
  <si>
    <t>http://www.wingia.com/web/files/news/61/file/61.pdf
http://www.washingtonpost.com/blogs/govbeat/wp/2014/01/22/the-most-corrupt-states-in-america/</t>
  </si>
  <si>
    <t>http://www.wingia.com/web/files/news/61/file/61.pdf (Pg. 35)</t>
  </si>
  <si>
    <t>1. http://aussiecriminals.com.au/tag/police-corruption/
2. http://www.theaustralian.com.au/news/nation/victorian-police-corrupt-ex-judge/story-e6frg6nf-1111112813878?nk=5740ef85c5138380a371c831bf49aa3a</t>
  </si>
  <si>
    <t>http://www.transparency.org/country/#HKG
http://www.icac.org.hk/en/about_icac/bh/
http://www.police.gov.hk/info/doc/police_in_figure/2013_police_in_fig.pdf</t>
  </si>
  <si>
    <t>http://www.rfa.org/english/news/china/corruption-06152011163753.html</t>
  </si>
  <si>
    <t>http://www.ndtv.com/article/cities/36-mumbai-policemen-suspended-for-allegedly-taking-bribe-352661</t>
  </si>
  <si>
    <t>1. http://ibnlive.in.com/news/aaps-anticorruption-helpline-two-delhi-police-constables-caught-taking-bribe/444802-3-244.html
2. http://www.ndtv.com/topic/police-arrested-for-taking-bribe
3. http://www.ndtv.com/topic/police-corruption
4. http://www.rediff.com/news/report/seven-delhi-cops-caught-taking-bribes-suspended/20140205.htm</t>
  </si>
  <si>
    <t>http://csis.org/publication/corruption-indonesia-and-2014-elections</t>
  </si>
  <si>
    <t>http://www.transparency.org/country/#IRN</t>
  </si>
  <si>
    <t>http://online.wsj.com/news/articles/SB10001424052702303768104577461792447322030</t>
  </si>
  <si>
    <t>http://www.koreabang.com/2013/stories/high-korean-corruption-rankings-make-netizens-despair.html
http://irps.ucsd.edu/assets/001/503065.pdf
https://my.news.yahoo.com/south-koreas-corruption-index-falls-082003113.html</t>
  </si>
  <si>
    <t>http://english.tcpd.taipei.gov.tw/ct.asp?xItem=42733618&amp;ctNode=15854&amp;mp=108002</t>
  </si>
  <si>
    <t>http://www.transparency.org/country/#THA</t>
  </si>
  <si>
    <t>http://www.wingia.com/web/files/news/61/file/61.pdf</t>
  </si>
  <si>
    <t>1. http://cpi.transparency.org/cpi2013/results/</t>
  </si>
  <si>
    <t>1. http://www.numbeo.com/crime/city_result.jsp?country=Qatar&amp;city=Doha</t>
  </si>
  <si>
    <t>1. http://www.numbeo.com/crime/city_result.jsp?country=Saudi+Arabia&amp;city=Riyadh</t>
  </si>
  <si>
    <t>http://eprints.qut.edu.au/16689/1/Humaid_Mohamed_Saed_Al-Muhairi_Thesis.pdf</t>
  </si>
  <si>
    <t>http://actualite-generale.dhnet.be/_faits_divers/police-judiciaire-bruxelles-corruption.html</t>
  </si>
  <si>
    <t>http://www.telegraph.co.uk/news/worldnews/europe/france/9594587/Marseille-police-corruption-scandal-deepens-as-30-officers-suspended.html</t>
  </si>
  <si>
    <t>1. http://www.thelocal.it/20131203/italy-among-most-corrupt-countries-in-europe</t>
  </si>
  <si>
    <t>http://www.wingia.com/web/files/news/61/file/61.pdf (Pg. 36)</t>
  </si>
  <si>
    <t>https://www.ncjrs.gov/App/publications/Abstract.aspx?id=81657</t>
  </si>
  <si>
    <t>1. http://www.numbeo.com/crime/city_result.jsp?country=Russia&amp;city=Moscow
2. http://www.moscow.info/essentials/police.aspx</t>
  </si>
  <si>
    <t>http://uk.reuters.com/article/2013/12/27/uk-turkey-corruption-idUKBRE9BN0LK20131227
http://latino.foxnews.com/latino/news/2013/12/22/thousands-demonstrate-in-istanbul-against-high-level-corruption/
http://edition.cnn.com/2013/12/26/world/europe/turkey-corruption-investigation/
http://www.france24.com/en/20140107-turkey-erdogan-sacks-350-police-officers-corruption-probe-gulen/
http://www.transparency.org/country/#TUR</t>
  </si>
  <si>
    <t>http://www.ipcc.gov.uk/sites/default/files/Documents/research_stats/Corruption_in_the_Police_Service_in_England_Wales_Report_2_May_2012.pdf
http://www.wingia.com/web/files/news/61/file/61.pdf</t>
  </si>
  <si>
    <t>http://www.saps.gov.za/resource_centre/publications/statistics/crimestats/2013/crime_stats.php
(◦Police Station Figures per Province 2004 to 2013)
http://population.mongabay.com/population/south-africa/993800/johannesburg</t>
  </si>
  <si>
    <t>1. http://www.cicad.oas.org/mem/reports/2/Full_Eval/Argentina%20-%20eng.pdf
2. http://www.europaworld.com/pub/entry/ar.ss.2</t>
  </si>
  <si>
    <t>http://druglawreform.info/images/stories/documents/Systems_Overload/TNI-Systems_Overload-brazil-def.pdf
http://www.prb.org/pdf09/09wpds_eng.pdf
http://www.vibrant.org.br/downloads/v7n2_misse.pdf
http://www.economist.com/news/americas/21594254-brazils-hellish-penal-system-overcrowded-violent-and-brutalising-welcome-middle-ages</t>
  </si>
  <si>
    <t>http://www.sfexaminer.com/sanfrancisco/san-francisco-drug-arrests-tumble-as-police-focus-on-serious-and-violent-crime/Content?oid=2544067
http://www.infoplease.com/ipa/A0108603.html</t>
  </si>
  <si>
    <t>http://www.chicagoreader.com/Bleader/archives/2013/02/22/drug-arrests-drop-in-chicago-but-still-snare-thousands-in-black-neighborhoods
http://www.city-data.com/city/Chicago-Illinois.html</t>
  </si>
  <si>
    <t>1. http://www.drugwarfacts.org/cms/mexico#sthash.f49xwtmg.dpbs</t>
  </si>
  <si>
    <t>1. http://www.insightcrime.org/news-briefs/rising-cocaine-use-in-peru-up-60-in-3-years</t>
  </si>
  <si>
    <t>1. http://www.cicad.oas.org/mem/reports/4/Full_Eval/Chile%20-%20Fourth%20Round%20-%20ENG.pdf
2. http://www.indexmundi.com/chile/population.html</t>
  </si>
  <si>
    <t>http://www.criminaljustice.ny.gov/crimnet/ojsa/dispos/nyc.pdf</t>
  </si>
  <si>
    <t>http://sentencingproject.org/doc/publications/inc_Trends_in_Corrections_Fact_sheet.pdf
http://www.usnews.com/opinion/blogs/robert-schlesinger/2011/12/30/us-population-2012-nearly-313-million-people</t>
  </si>
  <si>
    <t>1. http://www.bocsar.nsw.gov.au/agdbasev7wr/_assets/bocsar/m716854l3/nsw_recorded_crime_statistics_june_2014_sa4.pdf (Pg. 5)
2. http://www.business.nsw.gov.au/invest-in-nsw/about-nsw/people-skills-and-education/population-estimates</t>
  </si>
  <si>
    <t>1. http://www.police.vic.gov.au/content.asp?a=internetBridgingPage&amp;Media_ID=72176
2. http://www.abs.gov.au/ausstats/abs@.nsf/mf/3101.0</t>
  </si>
  <si>
    <t xml:space="preserve">http://www.censtatd.gov.hk/hkstat/sub/sp140.jsp?productCode=B1010002
</t>
  </si>
  <si>
    <t>http://www.chinadaily.com.cn/china/2014-06/19/content_17602054.htm</t>
  </si>
  <si>
    <t>http://www.shanghaidaily.com/article/article_xinhua.aspx?id=240346
http://worldpopulationreview.com/countries/china-population/</t>
  </si>
  <si>
    <t>http://www.china.org.cn/english/government/214833.htm
http://www.evi.com/q/population_of_shenzhen_china_2014</t>
  </si>
  <si>
    <t>http://www.wantinews.com/news-8835103-Guangzhou-police-to-combat-crimes-remarkable-six.html
http://www.evi.com/q/how_many_people_live_in_guangzhou</t>
  </si>
  <si>
    <t>http://m.timesofindia.com/city/mumbai/Mumbai-police-for-making-city-drug-free/articleshow/17874738.cms</t>
  </si>
  <si>
    <t>1. http://timesofindia.indiatimes.com/city/chandigarh/Drug-related-crime-reported-highest-in-Punjab-National-Crime-Records-Bureau/articleshow/37547777.cms
2. http://www.indiaonlinepages.com/population/delhi-population.html</t>
  </si>
  <si>
    <t>http://www.aipasecretariat.org/wp-content/uploads/2014/02/CP-IND.pdf
http://www.tradingeconomics.com/indonesia/population</t>
  </si>
  <si>
    <t>http://www.havocscope.com/iran-drug-addiction/</t>
  </si>
  <si>
    <t>http://www.e-stat.go.jp/SG1/estat/ListE.do?bid=000001052146&amp;cycode=0 (Download Safety excel)
http://stats-japan.com/t/tdfk/tokyo</t>
  </si>
  <si>
    <t>http://www.e-stat.go.jp/SG1/estat/ListE.do?bid=000001052146&amp;cycode=0 (Download Safety excel)
http://stats-japan.com/t/tdfk/osaka</t>
  </si>
  <si>
    <t>http://www.cnb.gov.sg/drugsituationreport/drugsituationreport2013.aspx
http://www.censtatd.gov.hk/hkstat/sub/so20.jsp</t>
  </si>
  <si>
    <t>http://www.state.gov/j/inl/rls/nrcrpt/2012/vol1/184102.htm
http://www.evi.com/q/population_of_seoul_south_korea_2011</t>
  </si>
  <si>
    <t>http://ebook.taipei.gov.tw/yearbook/2012/En/index.html#105/z (Pg. 105)
http://ebook.taipei.gov.tw/yearbook/2012/En/index.html#7/z - (pg. 7)</t>
  </si>
  <si>
    <t>http://web.nso.go.th/en/pub/e_book/YEARBOOK_2013/#/382/zoomed (Pg.222)
http://web.nso.go.th/en/pub/e_book/YEARBOOK_2013/#/75/zoomed (Pg. 11)</t>
  </si>
  <si>
    <t>https://www.unodc.org/southeastasiaandpacific/en/vietnam/2014/06/drug-workshop/story.html
http://vietnamnews.vn/politics-laws/257203/deputy-pm-urges-more-effective-crime-measures.html</t>
  </si>
  <si>
    <t>1. http://www.mapinc.org/drugnews/v02.n1485.a02.html</t>
  </si>
  <si>
    <t>1. http://dohanews.co/expanded-treatment-center-for-addicts-to-formally-open-next-month/</t>
  </si>
  <si>
    <t>1. http://www.thenational.ae/news/world/middle-east/riyadh-takes-a-tough-line-on-problem-of-drug-abuse
2. http://www.arabnews.com/node/407209</t>
  </si>
  <si>
    <t>http://epp.eurostat.ec.europa.eu/statistics_explained/images/8/83/Crimes_recorded_by_the_police_Drug_trafficking%2C_2004-2010_New.png
http://populationpyramid.net/germany/</t>
  </si>
  <si>
    <t>http://www.drugtext.org/Crime-police-trafficking/police-policy-in-amsterdam.html</t>
  </si>
  <si>
    <t>http://rbth.com/news/2013/03/11/almost_150000_people_convicted_for_drug-related_crimes_in_russia_-_drug__23711.html
http://www.worldpopulationstatistics.com/russia-population/</t>
  </si>
  <si>
    <t>http://epp.eurostat.ec.europa.eu/statistics_explained/index.php/Crime_trends_in_detail
http://www.evi.com/q/what_is_the_population_of_spain_in_2010</t>
  </si>
  <si>
    <t>http://www.turkstat.gov.tr/PreTabloArama.do?metod=startArama
http://www.turkstat.gov.tr/PreHaberBultenleri.do?id=13425</t>
  </si>
  <si>
    <t>http://www.cityoflondon.police.uk/about-us/your-right-to-information/Documents/annual-report.pdf
http://www.standard.co.uk/news/london/londons-population-hits-new-high-of-83m-8674589.html</t>
  </si>
  <si>
    <t>http://www.start.umd.edu/gtd/search/Results.aspx?page=1&amp;search=addis ababa&amp;count=100&amp;charttype=line&amp;chart=overtime&amp;expanded=no&amp;ob=City&amp;od=asc#results-table</t>
  </si>
  <si>
    <t>http://www.start.umd.edu/gtd/search/Results.aspx?page=3&amp;search=johannesburg&amp;count=100&amp;expanded=yes&amp;charttype=line&amp;chart=overtime&amp;ob=City&amp;od=asc#results-table</t>
  </si>
  <si>
    <t>http://www.start.umd.edu/gtd/search/Results.aspx?expanded=no&amp;search=Buenos+Aires&amp;ob=City&amp;od=asc&amp;page=1&amp;count=100</t>
  </si>
  <si>
    <t>http://www.start.umd.edu/gtd/search/Results.aspx?page=1&amp;search=Sao Paulo&amp;count=100&amp;charttype=line&amp;chart=overtime&amp;expanded=no&amp;ob=City&amp;od=asc#results-table</t>
  </si>
  <si>
    <t>http://www.start.umd.edu/gtd/search/Results.aspx?expanded=no&amp;casualties_type=&amp;casualties_max=&amp;success=yes&amp;country=30&amp;ob=GTDID&amp;od=desc&amp;page=1&amp;count=100</t>
  </si>
  <si>
    <t>http://www.start.umd.edu/gtd/search/Results.aspx?search=Los+Angeles&amp;sa.x=0&amp;sa.y=0</t>
  </si>
  <si>
    <t>http://www.start.umd.edu/gtd/search/Results.aspx?expanded=no&amp;search=san+francisco&amp;ob=City&amp;od=asc&amp;page=1&amp;count=100</t>
  </si>
  <si>
    <t>http://www.start.umd.edu/gtd/search/Results.aspx?search=Toronto&amp;sa.x=0&amp;sa.y=0</t>
  </si>
  <si>
    <t>http://www.start.umd.edu/gtd/search/Results.aspx?expanded=no&amp;search=Montreal&amp;ob=City&amp;od=asc&amp;page=1&amp;count=100</t>
  </si>
  <si>
    <t>http://www.start.umd.edu/gtd/search/Results.aspx?expanded=no&amp;search=chicago&amp;ob=GTDID&amp;od=desc&amp;page=1&amp;count=100</t>
  </si>
  <si>
    <t>http://www.start.umd.edu/gtd/search/Results.aspx?expanded=no&amp;search=Mexico+City&amp;ob=GTDID&amp;od=desc&amp;page=1&amp;count=100</t>
  </si>
  <si>
    <t>http://www.start.umd.edu/gtd/search/Results.aspx?expanded=no&amp;search=lima&amp;ob=GTDID&amp;od=desc&amp;page=1&amp;count=100</t>
  </si>
  <si>
    <t>http://www.start.umd.edu/gtd/search/Results.aspx?expanded=no&amp;search=santiago&amp;ob=City&amp;od=asc&amp;page=1&amp;count=100</t>
  </si>
  <si>
    <t>http://www.start.umd.edu/gtd/search/Results.aspx?expanded=no&amp;search=New+York&amp;ob=GTDID&amp;od=desc&amp;page=1&amp;count=100</t>
  </si>
  <si>
    <t>http://www.start.umd.edu/gtd/search/Results.aspx?search=Washington+DC&amp;sa.x=0&amp;sa.y=0</t>
  </si>
  <si>
    <t>http://www.start.umd.edu/gtd/search/Results.aspx?search=Sydney&amp;sa.x=0&amp;sa.y=0</t>
  </si>
  <si>
    <t>http://www.start.umd.edu/gtd/search/Results.aspx?page=1&amp;search=Melbourne&amp;count=100&amp;charttype=line&amp;chart=overtime&amp;expanded=no&amp;ob=City&amp;od=asc#results-table</t>
  </si>
  <si>
    <t>http://www.start.umd.edu/gtd/search/Results.aspx?search=Hong+Kong&amp;sa.x=0&amp;sa.y=0</t>
  </si>
  <si>
    <t>http://www.start.umd.edu/gtd/search/Results.aspx?search=Beijing+&amp;sa.x=0&amp;sa.y=0</t>
  </si>
  <si>
    <t>http://www.start.umd.edu/gtd/search/Results.aspx?search=shanghai&amp;sa.x=0&amp;sa.y=0</t>
  </si>
  <si>
    <t>http://www.start.umd.edu/gtd/search/Results.aspx?search=shenzhen&amp;sa.x=0&amp;sa.y=0</t>
  </si>
  <si>
    <t>http://www.start.umd.edu/gtd/search/Results.aspx?search=guangzhou&amp;sa.x=0&amp;sa.y=0</t>
  </si>
  <si>
    <t>http://www.start.umd.edu/gtd/search/Results.aspx?search=tianjin&amp;sa.x=0&amp;sa.y=0</t>
  </si>
  <si>
    <t>http://www.start.umd.edu/gtd/search/Results.aspx?page=1&amp;search=mumbai&amp;charttype=line&amp;chart=overtime&amp;expanded=no&amp;ob=City&amp;od=asc#results-table</t>
  </si>
  <si>
    <t>http://www.start.umd.edu/gtd/search/Results.aspx?page=1&amp;search=delhi&amp;count=100&amp;charttype=line&amp;chart=overtime&amp;expanded=no&amp;ob=City&amp;od=asc#results-table</t>
  </si>
  <si>
    <t>http://www.start.umd.edu/gtd/search/Results.aspx?expanded=no&amp;search=Jakarta&amp;ob=GTDID&amp;od=desc&amp;page=1&amp;count=100</t>
  </si>
  <si>
    <t>http://www.start.umd.edu/gtd/search/Results.aspx?page=1&amp;search=tehran&amp;count=100&amp;charttype=line&amp;chart=overtime&amp;expanded=no&amp;ob=City&amp;od=desc#results-table</t>
  </si>
  <si>
    <t>http://www.start.umd.edu/gtd/search/Results.aspx?search=Tokyo&amp;sa.x=0&amp;sa.y=0</t>
  </si>
  <si>
    <t>http://www.start.umd.edu/gtd/search/Results.aspx?search=Osaka&amp;sa.x=0&amp;sa.y=0</t>
  </si>
  <si>
    <t>http://www.start.umd.edu/gtd/search/Results.aspx?expanded=no&amp;search=singapore&amp;ob=GTDID&amp;od=desc&amp;page=1&amp;count=100</t>
  </si>
  <si>
    <t>http://www.start.umd.edu/gtd/search/Results.aspx?expanded=no&amp;search=seoul&amp;ob=City&amp;od=asc&amp;page=1&amp;count=100</t>
  </si>
  <si>
    <t>http://www.start.umd.edu/gtd/search/Results.aspx?search=taipei</t>
  </si>
  <si>
    <t>http://www.start.umd.edu/gtd/search/Results.aspx?page=1&amp;search=bangkok&amp;count=100&amp;charttype=line&amp;chart=overtime&amp;ob=GTDID&amp;od=desc&amp;expanded=yes#results-table</t>
  </si>
  <si>
    <t>http://www.start.umd.edu/gtd/search/Results.aspx?search=ho+chi+minh&amp;sa.x=0&amp;sa.y=0</t>
  </si>
  <si>
    <t>http://www.start.umd.edu/gtd/search/Results.aspx?start_yearonly=2004&amp;end_yearonly=2013&amp;start_year=&amp;start_month=&amp;start_day=&amp;end_year=&amp;end_month=&amp;end_day=&amp;country=106&amp;asmSelect1=&amp;dtp2=all&amp;success=yes&amp;casualties_type=b&amp;casualties_max=</t>
  </si>
  <si>
    <t>http://www.start.umd.edu/gtd/search/Results.aspx?start_yearonly=2004&amp;end_yearonly=2013&amp;start_year=&amp;start_month=&amp;start_day=&amp;end_year=&amp;end_month=&amp;end_day=&amp;country=164&amp;asmSelect1=&amp;dtp2=all&amp;success=yes&amp;casualties_type=b&amp;casualties_max=</t>
  </si>
  <si>
    <t>http://www.start.umd.edu/gtd/search/Results.aspx?page=2&amp;casualties_type=b&amp;casualties_max=&amp;start_yearonly=2004&amp;end_yearonly=2013&amp;dtp2=all&amp;country=173&amp;expanded=no&amp;charttype=line&amp;chart=overtime&amp;ob=City&amp;od=asc#results-table</t>
  </si>
  <si>
    <t>http://www.start.umd.edu/gtd/search/Results.aspx?search=Abu+Dhabi&amp;sa.x=0&amp;sa.y=0</t>
  </si>
  <si>
    <t>http://www.start.umd.edu/gtd/search/Results.aspx?page=1&amp;search=Brussels&amp;count=100&amp;charttype=line&amp;chart=overtime&amp;expanded=no&amp;ob=City&amp;od=asc#results-table</t>
  </si>
  <si>
    <t>http://www.start.umd.edu/gtd/search/Results.aspx?page=1&amp;search=paris&amp;count=100&amp;charttype=line&amp;chart=overtime&amp;expanded=no&amp;ob=City&amp;od=asc#results-table</t>
  </si>
  <si>
    <t>http://www.start.umd.edu/gtd/search/Results.aspx?page=1&amp;search=Frankfurt&amp;count=100&amp;charttype=line&amp;chart=overtime&amp;expanded=no&amp;ob=City&amp;od=asc#results-table</t>
  </si>
  <si>
    <t>http://www.start.umd.edu/gtd/search/Results.aspx?expanded=no&amp;search=Rome&amp;ob=GTDID&amp;od=desc&amp;page=1&amp;count=100</t>
  </si>
  <si>
    <t>http://www.start.umd.edu/gtd/search/Results.aspx?expanded=no&amp;search=Milan&amp;ob=GTDID&amp;od=desc&amp;page=1&amp;count=100</t>
  </si>
  <si>
    <t>http://www.start.umd.edu/gtd/search/Results.aspx?expanded=no&amp;search=amsterdam&amp;ob=City&amp;od=asc&amp;page=1&amp;count=100</t>
  </si>
  <si>
    <t>http://www.start.umd.edu/gtd/search/Results.aspx?expanded=no&amp;search=Moscow&amp;ob=GTDID&amp;od=desc&amp;page=1&amp;count=100</t>
  </si>
  <si>
    <t>http://www.start.umd.edu/gtd/search/Results.aspx?expanded=no&amp;search=madrid&amp;ob=City&amp;od=asc&amp;page=1&amp;count=100</t>
  </si>
  <si>
    <t>http://www.start.umd.edu/gtd/search/Results.aspx?expanded=no&amp;search=barcelona&amp;ob=GTDID&amp;od=desc&amp;page=1&amp;count=100</t>
  </si>
  <si>
    <t>http://www.start.umd.edu/gtd/search/Results.aspx?expanded=no&amp;search=istanbul&amp;ob=GTDID&amp;od=desc&amp;page=1&amp;count=100</t>
  </si>
  <si>
    <t>http://www.start.umd.edu/gtd/search/Results.aspx?page=2&amp;search=London&amp;count=100&amp;expanded=no&amp;charttype=line&amp;chart=overtime&amp;ob=GTDID&amp;od=desc#results-table</t>
  </si>
  <si>
    <t>http://www.wonderslist.com/10-countries-highest-rape-crime/</t>
  </si>
  <si>
    <t>http://www.saps.gov.za/resource_centre/publications/statistics/crimestats/2013/crime_stats.php
(◦Police Station Figures per Province 2004 to 2013)</t>
  </si>
  <si>
    <t>http://www.google.com/url?sa=t&amp;rct=j&amp;q=&amp;esrc=s&amp;frm=1&amp;source=web&amp;cd=9&amp;cad=rja&amp;uact=8&amp;ved=0CF0QFjAI&amp;url=http%3A%2F%2Fwww.gadnetwork.org%2Fvawg-your-questions-our-answer%2FReferences_VAW_QA.pdf&amp;ei=PgQYVIeQOcuwogSH3YH4Bg&amp;usg=AFQjCNHHw4ZWx9wOlRANVkO4s-ZvBhb_2g&amp;sig2=eANTCshbm1VZ1O4jZZjbVA&amp;bvm=bv.75097201,d.cGE</t>
  </si>
  <si>
    <t>1. https://www.osac.gov/pages/ContentReportDetails.aspx?cid=15094
2. http://america.aljazeera.com/opinions/2014/5/brazil-rape-sexualviolenceipeawomenculture.html</t>
  </si>
  <si>
    <t>http://www.ipsnews.net/2013/06/rape-in-brazil-still-an-invisible-crime/
http://www.isp.rj.gov.br/Conteudo.asp?ident=233</t>
  </si>
  <si>
    <t>http://assets.lapdonline.org/assets/pdf/2010%20Summary.pdf</t>
  </si>
  <si>
    <t>http://www.neighborhoodscout.com/ca/san-francisco/crime/</t>
  </si>
  <si>
    <t>1. http://www.cbc.ca/thecurrent/episode/2014/01/31/the-law-and-the-langauge-of-rape/
2. http://www.torontosun.com/2014/02/26/predator-who-claimed-to-be-transgender-declared-dangerous-offender</t>
  </si>
  <si>
    <t>https://portal.chicagopolice.org/portal/page/portal/ClearPath/News/Crime%20Statistics/1_pdfsam_CompStat%20Public%202014%20Week%2036.pdf
http://www.city-data.com/crime/crime-Chicago-Illinois.html</t>
  </si>
  <si>
    <t>1. http://www.nationmaster.com/country-info/stats/Crime/Violent-crime/Rapes</t>
  </si>
  <si>
    <t>http://www.ipsnews.net/2002/12/rights-chile-a-woman-raped-every-25-minutes/</t>
  </si>
  <si>
    <t>http://www.nyc.gov/html/nypd/downloads/pdf/crime_statistics/cscity.pdf</t>
  </si>
  <si>
    <t>http://www.women.nsw.gov.au/__data/assets/file/0013/300271/2013_report_full.pdf (Pg. 11)</t>
  </si>
  <si>
    <t>1. http://www.melbourne.vic.gov.au/COMMUNITYSERVICES/COMMUNITYSAFETY/Pages/WhiteRibbonCampaign.aspx
2. http://www.melbourne.vic.gov.au/COMMUNITYSERVICES/COMMUNITYSAFETY/Pages/PreventingViolenceAgainstWomen.aspx</t>
  </si>
  <si>
    <t>http://www.censtatd.gov.hk/hkstat/sub/sp140.jsp?productCode=B1010002</t>
  </si>
  <si>
    <t>http://www.svri.org/chinese.pdf</t>
  </si>
  <si>
    <t>http://supremepeoplescourtmonitor.com/tag/domestic-violence-statistics/</t>
  </si>
  <si>
    <t>http://shanghaiist.com/2013/05/10/50_percent_of_chinese_men_abuse_partners_1_in_4_admit_to_rape.php</t>
  </si>
  <si>
    <t>1. http://in.reuters.com/article/2014/07/08/india-rape-crime-stats-idINKBN0FD0DF20140708
2. http://www.thehindu.com/news/national/ncrb-data-backs-delhi-as-rape-capital-claim/article6167123.ece</t>
  </si>
  <si>
    <t>http://www.unescap.org/stat/data/syb2011/escap-syb2011.pdf (Pg 14)</t>
  </si>
  <si>
    <t>http://www.japantoday.com/category/crime/view/tokyo-police-hold-events-to-help-stamp-out-molesting-on-trains
http://www.npa.go.jp/english/seisaku/Crime_in_Japan_in_2010.pdf (Pg. 46)</t>
  </si>
  <si>
    <t>http://www.npa.go.jp/english/seisaku/Crime_in_Japan_in_2010.pdf (Pg. 46)</t>
  </si>
  <si>
    <t>http://www.straitstimes.com/news/singapore/courts-crime/story/jump-rape-cases-singapore-involving-girls-under-14-20140814</t>
  </si>
  <si>
    <t>http://www.koreaherald.com/view.php?ud=20100830000747
http://thethreewisemonkeys.com/2011/06/20/sexual-assault-on-the-rise-in-seoul/
http://www.endvawnow.org/uploads/browser/files/gender_sensitive_indicators_seoul.pdf</t>
  </si>
  <si>
    <t>http://www.intlhumanrights.com/TaiwanWomenRightsDiscrimination.htm</t>
  </si>
  <si>
    <t xml:space="preserve">http://web.nso.go.th/en/pub/e_book/YEARBOOK_2013/#/382/zoomed (Pg.222)
</t>
  </si>
  <si>
    <t>http://www.vietnambreakingnews.com/2013/12/rape-kidnapping-murder-cases-rise-sharply-in-hcmc/</t>
  </si>
  <si>
    <t>1. http://www.state.gov/documents/organization/204590.pdf (Page 15)</t>
  </si>
  <si>
    <t>1. http://www.state.gov/documents/organization/220586.pdf (Page 34)</t>
  </si>
  <si>
    <t>http://www.emirates247.com/crime/local/13-6-fall-in-abu-dhabi-crime-rate-2014-02-25-1.539512</t>
  </si>
  <si>
    <t>http://www.vrouwenraad.be/media/docs/pdf/2013/violence_against_women.pdf</t>
  </si>
  <si>
    <t>https://www.osac.gov/pages/ContentReportDetails.aspx?cid=15642</t>
  </si>
  <si>
    <t>http://www.frankfurt.de/sixcms/detail.php?id=317595&amp;_ffmpar%5B_id_inhalt%5D=7214172</t>
  </si>
  <si>
    <t xml:space="preserve"> http://img.poliziadistato.it/docs/Compendio_dati_2013.pdf (Pg. 9)  
http://www.frontpagemag.com/2012/dgreenfield/r-of-rapes-in-rome-committed-by-immigrants-y-in-milan-in-italy/</t>
  </si>
  <si>
    <t xml:space="preserve"> http://img.poliziadistato.it/docs/Compendio_dati_2013.pdf (Pg. 9)
http://www.frontpagemag.com/2012/dgreenfield/r-of-rapes-in-rome-committed-by-immigrants-y-in-milan-in-italy/</t>
  </si>
  <si>
    <t>http://www.city-data.com/crime/crime-Amsterdam-New-York.html</t>
  </si>
  <si>
    <t>1. http://www.themoscowtimes.com/news/article/rapes-hate-crimes-rising-in-moscow/430642.html</t>
  </si>
  <si>
    <t>http://www.madrid.org/iestadis/fijas/estructu/general/anuario/ianucap08.htm</t>
  </si>
  <si>
    <t>http://www.idescat.cat/pub/?id=aec&amp;n=882&amp;lang=en</t>
  </si>
  <si>
    <t>https://www.osac.gov/pages/ContentReportDetails.aspx?cid=13752</t>
  </si>
  <si>
    <t>http://www.turkstat.gov.tr/PreTabloArama.do?metod=startArama</t>
  </si>
  <si>
    <t>Numbeo crime, SAFETY INDEX</t>
  </si>
  <si>
    <t>For information on how to enable macros, consult your technical support adviser or see the Microsoft documentation below.</t>
  </si>
  <si>
    <t>ActiveStatus</t>
  </si>
  <si>
    <t>Name</t>
  </si>
  <si>
    <t>Country_1</t>
  </si>
  <si>
    <t>Star_1</t>
  </si>
  <si>
    <t>Country_2</t>
  </si>
  <si>
    <t>Star_2</t>
  </si>
  <si>
    <t>City_2</t>
  </si>
  <si>
    <t>City_3</t>
  </si>
  <si>
    <t>Star_3</t>
  </si>
  <si>
    <t>City_4</t>
  </si>
  <si>
    <t>units</t>
  </si>
  <si>
    <t>COUNTRY_ID</t>
  </si>
  <si>
    <t>COUNTRY2_ID</t>
  </si>
  <si>
    <t>COUNTRY3_ID</t>
  </si>
  <si>
    <t>COUNTRY4_ID</t>
  </si>
  <si>
    <t>COUNTRY_COUNT</t>
  </si>
  <si>
    <t>INDICATOR GROUPER</t>
  </si>
  <si>
    <t>Sub-Categories</t>
  </si>
  <si>
    <t>Indicators</t>
  </si>
  <si>
    <t>BinID</t>
  </si>
  <si>
    <t>3 reversed</t>
  </si>
  <si>
    <t>IsBG</t>
  </si>
  <si>
    <t>NormID</t>
  </si>
  <si>
    <t>Unit</t>
  </si>
  <si>
    <t xml:space="preserve">is vis </t>
  </si>
  <si>
    <t>Bin Show?</t>
  </si>
  <si>
    <t>Description</t>
  </si>
  <si>
    <t>ScoringSystem</t>
  </si>
  <si>
    <t>Score (0)_OR_Data (1)</t>
  </si>
  <si>
    <t>INDI_X</t>
  </si>
  <si>
    <t>INDI_Y</t>
  </si>
  <si>
    <t>COUNTRY_HIGHLIGHT_ID</t>
  </si>
  <si>
    <t>SHOW_LABELS</t>
  </si>
  <si>
    <t>SHOW_OUTLIERS</t>
  </si>
  <si>
    <t>TITLE</t>
  </si>
  <si>
    <t>X-LABEL</t>
  </si>
  <si>
    <t>Y-LABEL</t>
  </si>
  <si>
    <t>SLOPE</t>
  </si>
  <si>
    <t>here</t>
  </si>
  <si>
    <t>INTERCEPT</t>
  </si>
  <si>
    <t>CORREL</t>
  </si>
  <si>
    <t>CORREL IS NOT ERROR</t>
  </si>
  <si>
    <t>USED TO DECIDE WHETHER TO CALCULATE OUTLIERS OR NOT, SHOULDN'T BE INVOKED IF ALL DATA IS GOOD (?)</t>
  </si>
  <si>
    <t>Raw data</t>
  </si>
  <si>
    <t>Allowable?</t>
  </si>
  <si>
    <t>Don't allow blanks or errors</t>
  </si>
  <si>
    <t>Anticipated</t>
  </si>
  <si>
    <t>CountryHighlight</t>
  </si>
  <si>
    <t>Labels</t>
  </si>
  <si>
    <t>Base (unhighlighted)</t>
  </si>
  <si>
    <t>Group Highlight</t>
  </si>
  <si>
    <t>COUNTRY</t>
  </si>
  <si>
    <t>X</t>
  </si>
  <si>
    <t>Y</t>
  </si>
  <si>
    <t>Diff</t>
  </si>
  <si>
    <t>FILTER</t>
  </si>
  <si>
    <t>CountryID</t>
  </si>
  <si>
    <t>Label</t>
  </si>
  <si>
    <t>Include?</t>
  </si>
  <si>
    <t>Max Outlier</t>
  </si>
  <si>
    <t>Target</t>
  </si>
  <si>
    <t>Min Outlier</t>
  </si>
  <si>
    <t>Indi</t>
  </si>
  <si>
    <t>HighIs</t>
  </si>
  <si>
    <t>CountryQuartile</t>
  </si>
  <si>
    <t>EffectiveQuartile</t>
  </si>
  <si>
    <t>Quartile_Mark</t>
  </si>
  <si>
    <t>Country2_Quartile</t>
  </si>
  <si>
    <t>Country3_Quartile</t>
  </si>
  <si>
    <t>Country4_Quartile</t>
  </si>
  <si>
    <t>Available data</t>
  </si>
  <si>
    <t>View overall and category scores in ranked tables</t>
  </si>
  <si>
    <t>Plot two variables against one another</t>
  </si>
  <si>
    <t>Ranked table for any indicator in the scorecard</t>
  </si>
  <si>
    <t>Data inputs normalised</t>
  </si>
  <si>
    <t>View overall and category scores and ranks plus grouped indicator scores for a single city</t>
  </si>
  <si>
    <t>Adjust the relative importance of any indicator or category</t>
  </si>
  <si>
    <t>Compare the scores and data of 2 cities</t>
  </si>
  <si>
    <t>Sponsored by:</t>
  </si>
  <si>
    <t>Published 26th January, 2015</t>
  </si>
  <si>
    <t xml:space="preserve">                             Safe City Index</t>
  </si>
  <si>
    <t>EIU</t>
  </si>
  <si>
    <t>Scored 0-100 where 100=best</t>
  </si>
  <si>
    <t>Units</t>
  </si>
  <si>
    <t>Source: Highlight Country For Specific Source</t>
  </si>
  <si>
    <t>Sub-category scores</t>
  </si>
  <si>
    <t>TWO CITY COMPARISON</t>
  </si>
  <si>
    <t>= before the rank indicates a tie in rank with another city</t>
  </si>
  <si>
    <r>
      <rPr>
        <sz val="10"/>
        <color rgb="FF00B050"/>
        <rFont val="Calibri"/>
        <charset val="134"/>
      </rPr>
      <t>*</t>
    </r>
    <r>
      <rPr>
        <sz val="10"/>
        <color indexed="8"/>
        <rFont val="Calibri"/>
        <charset val="134"/>
      </rPr>
      <t xml:space="preserve"> = City is in top quartile </t>
    </r>
    <r>
      <rPr>
        <sz val="10"/>
        <color indexed="38"/>
        <rFont val="Calibri"/>
        <charset val="134"/>
      </rPr>
      <t xml:space="preserve"> </t>
    </r>
    <r>
      <rPr>
        <sz val="10"/>
        <color rgb="FFFF0000"/>
        <rFont val="Calibri"/>
        <charset val="134"/>
      </rPr>
      <t>x</t>
    </r>
    <r>
      <rPr>
        <sz val="10"/>
        <color indexed="8"/>
        <rFont val="Calibri"/>
        <charset val="134"/>
      </rPr>
      <t xml:space="preserve"> = Bottom quartile</t>
    </r>
  </si>
  <si>
    <t>Indicates that city's score is equal to or greater than city being compared too.</t>
  </si>
  <si>
    <t>COMPARE</t>
  </si>
  <si>
    <t>E</t>
  </si>
  <si>
    <t>CORREL(X,Y)</t>
  </si>
  <si>
    <t>Min-set</t>
  </si>
  <si>
    <t>Max-set</t>
  </si>
  <si>
    <t>CalcID</t>
  </si>
  <si>
    <t xml:space="preserve">&lt; 0.1 </t>
  </si>
  <si>
    <t>CATEGORY WEIGHTS</t>
  </si>
  <si>
    <t>Weight %</t>
  </si>
  <si>
    <t>SUB-CATEGORY WEIGHTS</t>
  </si>
  <si>
    <t>INDICATOR WEIGHTS</t>
  </si>
</sst>
</file>

<file path=xl/styles.xml><?xml version="1.0" encoding="utf-8"?>
<styleSheet xmlns="http://schemas.openxmlformats.org/spreadsheetml/2006/main">
  <numFmts count="18">
    <numFmt numFmtId="176" formatCode="0.0"/>
    <numFmt numFmtId="177" formatCode="#,##0.0"/>
    <numFmt numFmtId="178" formatCode="_ * #,##0.00_ ;_ * \-#,##0.00_ ;_ * &quot;-&quot;??_ ;_ @_ "/>
    <numFmt numFmtId="179" formatCode="_(&quot;£&quot;* #,##0_);_(&quot;£&quot;* \(#,##0\);_(&quot;£&quot;* &quot;-&quot;_);_(@_)"/>
    <numFmt numFmtId="42" formatCode="_(&quot;$&quot;* #,##0_);_(&quot;$&quot;* \(#,##0\);_(&quot;$&quot;* &quot;-&quot;_);_(@_)"/>
    <numFmt numFmtId="180" formatCode="_ * #,##0_ ;_ * \-#,##0_ ;_ * &quot;-&quot;_ ;_ @_ "/>
    <numFmt numFmtId="44" formatCode="_(&quot;$&quot;* #,##0.00_);_(&quot;$&quot;* \(#,##0.00\);_(&quot;$&quot;* &quot;-&quot;??_);_(@_)"/>
    <numFmt numFmtId="181" formatCode="_(&quot;£&quot;\ * #,##0_);_(&quot;£&quot;\ * \(#,##0\);_(&quot;£&quot;\ * &quot;-&quot;_);_(@_)"/>
    <numFmt numFmtId="182" formatCode="#\ ##0.0_-;\-#\ ##0.0_-;_-0.0_-;_-@_ "/>
    <numFmt numFmtId="183" formatCode="\1"/>
    <numFmt numFmtId="184" formatCode="#,##0.00;[Red]\(#,##0.00\)"/>
    <numFmt numFmtId="43" formatCode="_(* #,##0.00_);_(* \(#,##0.00\);_(* &quot;-&quot;??_);_(@_)"/>
    <numFmt numFmtId="185" formatCode="_(* #,##0.0_);_(* \(#,##0.0\);_(* &quot;-&quot;??_);_(@_)"/>
    <numFmt numFmtId="186" formatCode="_(&quot;£&quot;\ * #,##0.00_);_(&quot;£&quot;\ * \(#,##0.00\);_(&quot;£&quot;\ * &quot;-&quot;??_);_(@_)"/>
    <numFmt numFmtId="187" formatCode="_-&quot;€&quot;\ * #,##0.00_-;\-&quot;€&quot;\ * #,##0.00_-;_-&quot;€&quot;\ * &quot;-&quot;??_-;_-@_-"/>
    <numFmt numFmtId="188" formatCode="#\ ##0.00_-;\-#\ ##0.00_-;_-0.00_-;_-@_ "/>
    <numFmt numFmtId="41" formatCode="_(* #,##0_);_(* \(#,##0\);_(* &quot;-&quot;_);_(@_)"/>
    <numFmt numFmtId="189" formatCode="0.0%"/>
  </numFmts>
  <fonts count="87">
    <font>
      <sz val="11"/>
      <color theme="1"/>
      <name val="Calibri"/>
      <charset val="134"/>
      <scheme val="minor"/>
    </font>
    <font>
      <b/>
      <sz val="11"/>
      <color theme="1"/>
      <name val="Calibri"/>
      <charset val="134"/>
      <scheme val="minor"/>
    </font>
    <font>
      <b/>
      <sz val="14"/>
      <color indexed="15"/>
      <name val="Calibri"/>
      <charset val="134"/>
      <scheme val="minor"/>
    </font>
    <font>
      <sz val="8"/>
      <color theme="1"/>
      <name val="Calibri"/>
      <charset val="134"/>
      <scheme val="minor"/>
    </font>
    <font>
      <sz val="11"/>
      <color theme="0" tint="-0.499984740745262"/>
      <name val="Calibri"/>
      <charset val="134"/>
      <scheme val="minor"/>
    </font>
    <font>
      <b/>
      <sz val="11"/>
      <color theme="0" tint="-0.499984740745262"/>
      <name val="Calibri"/>
      <charset val="134"/>
      <scheme val="minor"/>
    </font>
    <font>
      <i/>
      <sz val="11"/>
      <color theme="1"/>
      <name val="Calibri"/>
      <charset val="134"/>
      <scheme val="minor"/>
    </font>
    <font>
      <sz val="10"/>
      <color theme="1"/>
      <name val="Calibri"/>
      <charset val="134"/>
      <scheme val="minor"/>
    </font>
    <font>
      <b/>
      <sz val="10"/>
      <color theme="1"/>
      <name val="Calibri"/>
      <charset val="134"/>
      <scheme val="minor"/>
    </font>
    <font>
      <i/>
      <sz val="8"/>
      <color theme="1"/>
      <name val="Calibri"/>
      <charset val="134"/>
      <scheme val="minor"/>
    </font>
    <font>
      <b/>
      <i/>
      <sz val="10"/>
      <color theme="1"/>
      <name val="Calibri"/>
      <charset val="134"/>
      <scheme val="minor"/>
    </font>
    <font>
      <i/>
      <sz val="10"/>
      <color theme="1"/>
      <name val="Calibri"/>
      <charset val="134"/>
      <scheme val="minor"/>
    </font>
    <font>
      <sz val="10"/>
      <name val="Calibri"/>
      <charset val="134"/>
      <scheme val="minor"/>
    </font>
    <font>
      <b/>
      <sz val="14"/>
      <color theme="1"/>
      <name val="Calibri"/>
      <charset val="134"/>
      <scheme val="minor"/>
    </font>
    <font>
      <b/>
      <sz val="11"/>
      <color indexed="8"/>
      <name val="Calibri"/>
      <charset val="134"/>
    </font>
    <font>
      <sz val="10"/>
      <color indexed="8"/>
      <name val="Calibri"/>
      <charset val="134"/>
    </font>
    <font>
      <sz val="8"/>
      <name val="Calibri"/>
      <charset val="134"/>
    </font>
    <font>
      <sz val="10"/>
      <name val="Calibri"/>
      <charset val="134"/>
    </font>
    <font>
      <sz val="8"/>
      <color indexed="8"/>
      <name val="Calibri"/>
      <charset val="134"/>
    </font>
    <font>
      <sz val="8"/>
      <color indexed="9"/>
      <name val="Calibri"/>
      <charset val="134"/>
    </font>
    <font>
      <i/>
      <sz val="10"/>
      <color theme="1" tint="0.349986266670736"/>
      <name val="Calibri"/>
      <charset val="134"/>
    </font>
    <font>
      <sz val="12"/>
      <name val="Calibri"/>
      <charset val="134"/>
    </font>
    <font>
      <sz val="11"/>
      <color indexed="9"/>
      <name val="Calibri"/>
      <charset val="134"/>
    </font>
    <font>
      <b/>
      <sz val="12"/>
      <color theme="1"/>
      <name val="Calibri"/>
      <charset val="134"/>
      <scheme val="minor"/>
    </font>
    <font>
      <sz val="11"/>
      <color theme="0"/>
      <name val="Calibri"/>
      <charset val="134"/>
      <scheme val="minor"/>
    </font>
    <font>
      <b/>
      <sz val="18"/>
      <color theme="1"/>
      <name val="Calibri"/>
      <charset val="134"/>
      <scheme val="minor"/>
    </font>
    <font>
      <sz val="8"/>
      <color theme="1"/>
      <name val="Arial"/>
      <charset val="134"/>
    </font>
    <font>
      <sz val="11"/>
      <color rgb="FF0070C0"/>
      <name val="Calibri"/>
      <charset val="134"/>
      <scheme val="minor"/>
    </font>
    <font>
      <sz val="8"/>
      <color indexed="38"/>
      <name val="Calibri"/>
      <charset val="134"/>
    </font>
    <font>
      <sz val="11"/>
      <color rgb="FFFF0000"/>
      <name val="Calibri"/>
      <charset val="134"/>
    </font>
    <font>
      <sz val="11"/>
      <color rgb="FFFF0000"/>
      <name val="Calibri"/>
      <charset val="134"/>
      <scheme val="minor"/>
    </font>
    <font>
      <sz val="11"/>
      <color indexed="10"/>
      <name val="Calibri"/>
      <charset val="134"/>
    </font>
    <font>
      <sz val="11"/>
      <color indexed="12"/>
      <name val="Calibri"/>
      <charset val="134"/>
    </font>
    <font>
      <b/>
      <sz val="8"/>
      <color indexed="8"/>
      <name val="Calibri"/>
      <charset val="134"/>
    </font>
    <font>
      <sz val="11"/>
      <name val="Calibri"/>
      <charset val="134"/>
      <scheme val="minor"/>
    </font>
    <font>
      <b/>
      <sz val="8"/>
      <color theme="1"/>
      <name val="Calibri"/>
      <charset val="134"/>
      <scheme val="minor"/>
    </font>
    <font>
      <sz val="8"/>
      <color rgb="FFFF0000"/>
      <name val="Calibri"/>
      <charset val="134"/>
      <scheme val="minor"/>
    </font>
    <font>
      <sz val="10"/>
      <color indexed="10"/>
      <name val="Calibri"/>
      <charset val="134"/>
    </font>
    <font>
      <sz val="8"/>
      <color indexed="10"/>
      <name val="Calibri"/>
      <charset val="134"/>
    </font>
    <font>
      <sz val="8"/>
      <color indexed="53"/>
      <name val="Calibri"/>
      <charset val="134"/>
    </font>
    <font>
      <sz val="12"/>
      <color theme="1"/>
      <name val="Times New Roman"/>
      <charset val="134"/>
    </font>
    <font>
      <b/>
      <sz val="8"/>
      <color rgb="FF0070C0"/>
      <name val="Calibri"/>
      <charset val="134"/>
      <scheme val="minor"/>
    </font>
    <font>
      <sz val="8"/>
      <color theme="0" tint="-0.499984740745262"/>
      <name val="Calibri"/>
      <charset val="134"/>
      <scheme val="minor"/>
    </font>
    <font>
      <b/>
      <sz val="8"/>
      <color rgb="FFFF0000"/>
      <name val="Calibri"/>
      <charset val="134"/>
      <scheme val="minor"/>
    </font>
    <font>
      <b/>
      <sz val="8"/>
      <color rgb="FF00B050"/>
      <name val="Calibri"/>
      <charset val="134"/>
      <scheme val="minor"/>
    </font>
    <font>
      <sz val="9"/>
      <color theme="0" tint="-0.499984740745262"/>
      <name val="Calibri"/>
      <charset val="134"/>
      <scheme val="minor"/>
    </font>
    <font>
      <sz val="8"/>
      <color theme="0" tint="-0.349986266670736"/>
      <name val="Calibri"/>
      <charset val="134"/>
      <scheme val="minor"/>
    </font>
    <font>
      <sz val="8"/>
      <color rgb="FF00B050"/>
      <name val="Calibri"/>
      <charset val="134"/>
      <scheme val="minor"/>
    </font>
    <font>
      <sz val="11"/>
      <color theme="1"/>
      <name val="Calibri"/>
      <charset val="0"/>
      <scheme val="minor"/>
    </font>
    <font>
      <sz val="11"/>
      <color theme="1"/>
      <name val="Calibri"/>
      <charset val="134"/>
      <scheme val="minor"/>
    </font>
    <font>
      <b/>
      <sz val="11"/>
      <color rgb="FFFFFFFF"/>
      <name val="Calibri"/>
      <charset val="0"/>
      <scheme val="minor"/>
    </font>
    <font>
      <sz val="10"/>
      <color indexed="8"/>
      <name val="MS Sans Serif"/>
      <charset val="134"/>
    </font>
    <font>
      <sz val="11"/>
      <color theme="0"/>
      <name val="Calibri"/>
      <charset val="0"/>
      <scheme val="minor"/>
    </font>
    <font>
      <i/>
      <sz val="11"/>
      <color rgb="FF7F7F7F"/>
      <name val="Calibri"/>
      <charset val="0"/>
      <scheme val="minor"/>
    </font>
    <font>
      <sz val="11"/>
      <color rgb="FFFF0000"/>
      <name val="Calibri"/>
      <charset val="0"/>
      <scheme val="minor"/>
    </font>
    <font>
      <sz val="10"/>
      <name val="Arial"/>
      <charset val="134"/>
    </font>
    <font>
      <b/>
      <sz val="11"/>
      <color rgb="FFFA7D00"/>
      <name val="Calibri"/>
      <charset val="0"/>
      <scheme val="minor"/>
    </font>
    <font>
      <b/>
      <sz val="15"/>
      <color theme="3"/>
      <name val="Calibri"/>
      <charset val="134"/>
      <scheme val="minor"/>
    </font>
    <font>
      <sz val="10"/>
      <color indexed="10"/>
      <name val="Arial"/>
      <charset val="134"/>
    </font>
    <font>
      <b/>
      <sz val="18"/>
      <color theme="3"/>
      <name val="Calibri"/>
      <charset val="134"/>
      <scheme val="minor"/>
    </font>
    <font>
      <sz val="11"/>
      <color rgb="FF006100"/>
      <name val="Calibri"/>
      <charset val="0"/>
      <scheme val="minor"/>
    </font>
    <font>
      <b/>
      <sz val="11"/>
      <color theme="3"/>
      <name val="Calibri"/>
      <charset val="134"/>
      <scheme val="minor"/>
    </font>
    <font>
      <b/>
      <sz val="11"/>
      <color theme="1"/>
      <name val="Calibri"/>
      <charset val="0"/>
      <scheme val="minor"/>
    </font>
    <font>
      <b/>
      <sz val="11"/>
      <color rgb="FF3F3F3F"/>
      <name val="Calibri"/>
      <charset val="0"/>
      <scheme val="minor"/>
    </font>
    <font>
      <u/>
      <sz val="11"/>
      <color theme="10"/>
      <name val="Calibri"/>
      <charset val="134"/>
      <scheme val="minor"/>
    </font>
    <font>
      <sz val="11"/>
      <color rgb="FF3F3F76"/>
      <name val="Calibri"/>
      <charset val="0"/>
      <scheme val="minor"/>
    </font>
    <font>
      <sz val="7.5"/>
      <name val="Century Schoolbook"/>
      <charset val="134"/>
    </font>
    <font>
      <sz val="1"/>
      <color indexed="8"/>
      <name val="Courier"/>
      <charset val="134"/>
    </font>
    <font>
      <b/>
      <sz val="13"/>
      <color theme="3"/>
      <name val="Calibri"/>
      <charset val="134"/>
      <scheme val="minor"/>
    </font>
    <font>
      <sz val="11"/>
      <color rgb="FFFA7D00"/>
      <name val="Calibri"/>
      <charset val="0"/>
      <scheme val="minor"/>
    </font>
    <font>
      <u/>
      <sz val="11"/>
      <color rgb="FF800080"/>
      <name val="Calibri"/>
      <charset val="0"/>
      <scheme val="minor"/>
    </font>
    <font>
      <sz val="11"/>
      <color rgb="FF9C6500"/>
      <name val="Calibri"/>
      <charset val="0"/>
      <scheme val="minor"/>
    </font>
    <font>
      <sz val="11"/>
      <color rgb="FF9C0006"/>
      <name val="Calibri"/>
      <charset val="0"/>
      <scheme val="minor"/>
    </font>
    <font>
      <sz val="11"/>
      <name val="SL Swiss"/>
      <charset val="134"/>
    </font>
    <font>
      <sz val="12"/>
      <name val="Times New Roman"/>
      <charset val="134"/>
    </font>
    <font>
      <sz val="10"/>
      <name val="Times New Roman"/>
      <charset val="134"/>
    </font>
    <font>
      <sz val="10"/>
      <color indexed="8"/>
      <name val="Arial"/>
      <charset val="134"/>
    </font>
    <font>
      <sz val="12"/>
      <name val="宋体"/>
      <charset val="134"/>
    </font>
    <font>
      <sz val="11"/>
      <color indexed="8"/>
      <name val="Calibri"/>
      <charset val="134"/>
    </font>
    <font>
      <sz val="10"/>
      <name val="Verdana"/>
      <charset val="134"/>
    </font>
    <font>
      <sz val="10"/>
      <name val="Arial CE"/>
      <charset val="134"/>
    </font>
    <font>
      <u/>
      <sz val="10"/>
      <color indexed="12"/>
      <name val="Arial"/>
      <charset val="134"/>
    </font>
    <font>
      <u/>
      <sz val="10"/>
      <color theme="10"/>
      <name val="Arial"/>
      <charset val="134"/>
    </font>
    <font>
      <sz val="6"/>
      <color indexed="8"/>
      <name val="Arial"/>
      <charset val="134"/>
    </font>
    <font>
      <sz val="10"/>
      <color rgb="FF00B050"/>
      <name val="Calibri"/>
      <charset val="134"/>
    </font>
    <font>
      <sz val="10"/>
      <color indexed="38"/>
      <name val="Calibri"/>
      <charset val="134"/>
    </font>
    <font>
      <sz val="10"/>
      <color rgb="FFFF0000"/>
      <name val="Calibri"/>
      <charset val="134"/>
    </font>
  </fonts>
  <fills count="51">
    <fill>
      <patternFill patternType="none"/>
    </fill>
    <fill>
      <patternFill patternType="gray125"/>
    </fill>
    <fill>
      <patternFill patternType="solid">
        <fgColor theme="9" tint="0.399975585192419"/>
        <bgColor indexed="64"/>
      </patternFill>
    </fill>
    <fill>
      <patternFill patternType="solid">
        <fgColor theme="5" tint="0.799981688894314"/>
        <bgColor indexed="64"/>
      </patternFill>
    </fill>
    <fill>
      <patternFill patternType="solid">
        <fgColor rgb="FFFF0000"/>
        <bgColor indexed="64"/>
      </patternFill>
    </fill>
    <fill>
      <patternFill patternType="solid">
        <fgColor theme="0" tint="-0.0499893185216834"/>
        <bgColor indexed="64"/>
      </patternFill>
    </fill>
    <fill>
      <patternFill patternType="solid">
        <fgColor theme="0" tint="-0.149998474074526"/>
        <bgColor indexed="64"/>
      </patternFill>
    </fill>
    <fill>
      <patternFill patternType="solid">
        <fgColor rgb="FFBFBFBF"/>
        <bgColor indexed="64"/>
      </patternFill>
    </fill>
    <fill>
      <patternFill patternType="solid">
        <fgColor indexed="40"/>
        <bgColor indexed="64"/>
      </patternFill>
    </fill>
    <fill>
      <patternFill patternType="solid">
        <fgColor theme="3" tint="0.599993896298105"/>
        <bgColor indexed="64"/>
      </patternFill>
    </fill>
    <fill>
      <patternFill patternType="solid">
        <fgColor theme="4" tint="0.799981688894314"/>
        <bgColor indexed="64"/>
      </patternFill>
    </fill>
    <fill>
      <patternFill patternType="solid">
        <fgColor indexed="21"/>
        <bgColor indexed="64"/>
      </patternFill>
    </fill>
    <fill>
      <patternFill patternType="solid">
        <fgColor rgb="FF00B050"/>
        <bgColor indexed="64"/>
      </patternFill>
    </fill>
    <fill>
      <patternFill patternType="solid">
        <fgColor theme="5" tint="0.599993896298105"/>
        <bgColor indexed="64"/>
      </patternFill>
    </fill>
    <fill>
      <patternFill patternType="solid">
        <fgColor rgb="FFFFFF00"/>
        <bgColor indexed="64"/>
      </patternFill>
    </fill>
    <fill>
      <patternFill patternType="solid">
        <fgColor indexed="51"/>
        <bgColor indexed="64"/>
      </patternFill>
    </fill>
    <fill>
      <patternFill patternType="solid">
        <fgColor theme="6"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rgb="FFA5A5A5"/>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4"/>
        <bgColor indexed="64"/>
      </patternFill>
    </fill>
    <fill>
      <patternFill patternType="solid">
        <fgColor rgb="FFF2F2F2"/>
        <bgColor indexed="64"/>
      </patternFill>
    </fill>
    <fill>
      <patternFill patternType="solid">
        <fgColor theme="9" tint="0.39997558519241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7"/>
        <bgColor indexed="64"/>
      </patternFill>
    </fill>
    <fill>
      <patternFill patternType="solid">
        <fgColor theme="6" tint="0.599993896298105"/>
        <bgColor indexed="64"/>
      </patternFill>
    </fill>
    <fill>
      <patternFill patternType="solid">
        <fgColor rgb="FFC6EFCE"/>
        <bgColor indexed="64"/>
      </patternFill>
    </fill>
    <fill>
      <patternFill patternType="solid">
        <fgColor theme="8"/>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6"/>
        <bgColor indexed="64"/>
      </patternFill>
    </fill>
    <fill>
      <patternFill patternType="solid">
        <fgColor rgb="FFFFCC99"/>
        <bgColor indexed="64"/>
      </patternFill>
    </fill>
    <fill>
      <patternFill patternType="solid">
        <fgColor theme="8" tint="0.799981688894314"/>
        <bgColor indexed="64"/>
      </patternFill>
    </fill>
    <fill>
      <patternFill patternType="solid">
        <fgColor rgb="FFFFFFCC"/>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rgb="FFFFEB9C"/>
        <bgColor indexed="64"/>
      </patternFill>
    </fill>
    <fill>
      <patternFill patternType="solid">
        <fgColor theme="9"/>
        <bgColor indexed="64"/>
      </patternFill>
    </fill>
    <fill>
      <patternFill patternType="solid">
        <fgColor rgb="FFFFC7CE"/>
        <bgColor indexed="64"/>
      </patternFill>
    </fill>
    <fill>
      <patternFill patternType="solid">
        <fgColor theme="5"/>
        <bgColor indexed="64"/>
      </patternFill>
    </fill>
    <fill>
      <patternFill patternType="solid">
        <fgColor theme="4"/>
        <bgColor indexed="64"/>
      </patternFill>
    </fill>
    <fill>
      <patternFill patternType="solid">
        <fgColor indexed="31"/>
        <bgColor indexed="64"/>
      </patternFill>
    </fill>
    <fill>
      <patternFill patternType="solid">
        <fgColor rgb="FFFFFFCC"/>
        <bgColor indexed="64"/>
      </patternFill>
    </fill>
  </fills>
  <borders count="38">
    <border>
      <left/>
      <right/>
      <top/>
      <bottom/>
      <diagonal/>
    </border>
    <border>
      <left/>
      <right/>
      <top/>
      <bottom style="thin">
        <color theme="0" tint="-0.14996795556505"/>
      </bottom>
      <diagonal/>
    </border>
    <border>
      <left/>
      <right/>
      <top style="thin">
        <color theme="0" tint="-0.14996795556505"/>
      </top>
      <bottom style="thin">
        <color theme="0" tint="-0.14996795556505"/>
      </bottom>
      <diagonal/>
    </border>
    <border>
      <left/>
      <right/>
      <top style="thin">
        <color theme="0" tint="-0.14996795556505"/>
      </top>
      <bottom/>
      <diagonal/>
    </border>
    <border>
      <left/>
      <right/>
      <top style="thin">
        <color indexed="16"/>
      </top>
      <bottom/>
      <diagonal/>
    </border>
    <border>
      <left/>
      <right/>
      <top style="thin">
        <color indexed="16"/>
      </top>
      <bottom style="thin">
        <color auto="1"/>
      </bottom>
      <diagonal/>
    </border>
    <border>
      <left style="thin">
        <color theme="0"/>
      </left>
      <right style="thin">
        <color theme="0"/>
      </right>
      <top/>
      <bottom style="thin">
        <color theme="0"/>
      </bottom>
      <diagonal/>
    </border>
    <border>
      <left/>
      <right/>
      <top/>
      <bottom style="thin">
        <color theme="0" tint="-0.249946592608417"/>
      </bottom>
      <diagonal/>
    </border>
    <border>
      <left/>
      <right/>
      <top style="thin">
        <color theme="0" tint="-0.249946592608417"/>
      </top>
      <bottom style="thin">
        <color theme="0" tint="-0.249946592608417"/>
      </bottom>
      <diagonal/>
    </border>
    <border>
      <left/>
      <right/>
      <top style="thin">
        <color theme="0" tint="-0.249946592608417"/>
      </top>
      <bottom/>
      <diagonal/>
    </border>
    <border>
      <left/>
      <right/>
      <top/>
      <bottom style="hair">
        <color indexed="14"/>
      </bottom>
      <diagonal/>
    </border>
    <border>
      <left/>
      <right/>
      <top/>
      <bottom style="thin">
        <color auto="1"/>
      </bottom>
      <diagonal/>
    </border>
    <border>
      <left/>
      <right/>
      <top/>
      <bottom style="medium">
        <color theme="0"/>
      </bottom>
      <diagonal/>
    </border>
    <border>
      <left/>
      <right/>
      <top style="medium">
        <color theme="0"/>
      </top>
      <bottom style="medium">
        <color theme="0"/>
      </bottom>
      <diagonal/>
    </border>
    <border>
      <left/>
      <right/>
      <top style="medium">
        <color theme="0"/>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theme="0"/>
      </left>
      <right style="thin">
        <color theme="0"/>
      </right>
      <top style="thin">
        <color theme="0"/>
      </top>
      <bottom style="thin">
        <color theme="0"/>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107">
    <xf numFmtId="0" fontId="0" fillId="0" borderId="0"/>
    <xf numFmtId="0" fontId="48" fillId="22" borderId="0" applyNumberFormat="0" applyBorder="0" applyAlignment="0" applyProtection="0">
      <alignment vertical="center"/>
    </xf>
    <xf numFmtId="178" fontId="49" fillId="0" borderId="0" applyFont="0" applyFill="0" applyBorder="0" applyAlignment="0" applyProtection="0">
      <alignment vertical="center"/>
    </xf>
    <xf numFmtId="180" fontId="49" fillId="0" borderId="0" applyFont="0" applyFill="0" applyBorder="0" applyAlignment="0" applyProtection="0">
      <alignment vertical="center"/>
    </xf>
    <xf numFmtId="0" fontId="55" fillId="0" borderId="0"/>
    <xf numFmtId="42" fontId="49" fillId="0" borderId="0" applyFont="0" applyFill="0" applyBorder="0" applyAlignment="0" applyProtection="0">
      <alignment vertical="center"/>
    </xf>
    <xf numFmtId="44" fontId="49" fillId="0" borderId="0" applyFont="0" applyFill="0" applyBorder="0" applyAlignment="0" applyProtection="0">
      <alignment vertical="center"/>
    </xf>
    <xf numFmtId="0" fontId="51" fillId="0" borderId="0"/>
    <xf numFmtId="9" fontId="49" fillId="0" borderId="0" applyFont="0" applyFill="0" applyBorder="0" applyAlignment="0" applyProtection="0">
      <alignment vertical="center"/>
    </xf>
    <xf numFmtId="0" fontId="50" fillId="19" borderId="30" applyNumberFormat="0" applyAlignment="0" applyProtection="0">
      <alignment vertical="center"/>
    </xf>
    <xf numFmtId="0" fontId="67" fillId="0" borderId="0">
      <protection locked="0"/>
    </xf>
    <xf numFmtId="0" fontId="68" fillId="0" borderId="32" applyNumberFormat="0" applyFill="0" applyAlignment="0" applyProtection="0">
      <alignment vertical="center"/>
    </xf>
    <xf numFmtId="0" fontId="49" fillId="41" borderId="36" applyNumberFormat="0" applyFont="0" applyAlignment="0" applyProtection="0">
      <alignment vertical="center"/>
    </xf>
    <xf numFmtId="0" fontId="64" fillId="0" borderId="0" applyNumberFormat="0" applyFill="0" applyBorder="0" applyAlignment="0" applyProtection="0"/>
    <xf numFmtId="0" fontId="52" fillId="43" borderId="0" applyNumberFormat="0" applyBorder="0" applyAlignment="0" applyProtection="0">
      <alignment vertical="center"/>
    </xf>
    <xf numFmtId="0" fontId="70" fillId="0" borderId="0" applyNumberFormat="0" applyFill="0" applyBorder="0" applyAlignment="0" applyProtection="0">
      <alignment vertical="center"/>
    </xf>
    <xf numFmtId="0" fontId="48" fillId="31" borderId="0" applyNumberFormat="0" applyBorder="0" applyAlignment="0" applyProtection="0">
      <alignment vertical="center"/>
    </xf>
    <xf numFmtId="0" fontId="54" fillId="0" borderId="0" applyNumberFormat="0" applyFill="0" applyBorder="0" applyAlignment="0" applyProtection="0">
      <alignment vertical="center"/>
    </xf>
    <xf numFmtId="176" fontId="58" fillId="0" borderId="0" applyFont="0" applyProtection="0"/>
    <xf numFmtId="0" fontId="48" fillId="36" borderId="0" applyNumberFormat="0" applyBorder="0" applyAlignment="0" applyProtection="0">
      <alignment vertical="center"/>
    </xf>
    <xf numFmtId="0" fontId="59" fillId="0" borderId="0" applyNumberFormat="0" applyFill="0" applyBorder="0" applyAlignment="0" applyProtection="0">
      <alignment vertical="center"/>
    </xf>
    <xf numFmtId="0" fontId="55" fillId="0" borderId="0">
      <alignment horizontal="left" wrapText="1"/>
    </xf>
    <xf numFmtId="0" fontId="53" fillId="0" borderId="0" applyNumberFormat="0" applyFill="0" applyBorder="0" applyAlignment="0" applyProtection="0">
      <alignment vertical="center"/>
    </xf>
    <xf numFmtId="0" fontId="67" fillId="0" borderId="0">
      <protection locked="0"/>
    </xf>
    <xf numFmtId="0" fontId="57" fillId="0" borderId="32" applyNumberFormat="0" applyFill="0" applyAlignment="0" applyProtection="0">
      <alignment vertical="center"/>
    </xf>
    <xf numFmtId="0" fontId="61" fillId="0" borderId="33" applyNumberFormat="0" applyFill="0" applyAlignment="0" applyProtection="0">
      <alignment vertical="center"/>
    </xf>
    <xf numFmtId="0" fontId="74" fillId="0" borderId="0" applyNumberFormat="0" applyFill="0" applyBorder="0" applyAlignment="0" applyProtection="0"/>
    <xf numFmtId="0" fontId="61" fillId="0" borderId="0" applyNumberFormat="0" applyFill="0" applyBorder="0" applyAlignment="0" applyProtection="0">
      <alignment vertical="center"/>
    </xf>
    <xf numFmtId="0" fontId="55" fillId="0" borderId="0"/>
    <xf numFmtId="0" fontId="65" fillId="39" borderId="31" applyNumberFormat="0" applyAlignment="0" applyProtection="0">
      <alignment vertical="center"/>
    </xf>
    <xf numFmtId="0" fontId="52" fillId="29" borderId="0" applyNumberFormat="0" applyBorder="0" applyAlignment="0" applyProtection="0">
      <alignment vertical="center"/>
    </xf>
    <xf numFmtId="0" fontId="60" fillId="32" borderId="0" applyNumberFormat="0" applyBorder="0" applyAlignment="0" applyProtection="0">
      <alignment vertical="center"/>
    </xf>
    <xf numFmtId="0" fontId="63" fillId="26" borderId="35" applyNumberFormat="0" applyAlignment="0" applyProtection="0">
      <alignment vertical="center"/>
    </xf>
    <xf numFmtId="0" fontId="48" fillId="21" borderId="0" applyNumberFormat="0" applyBorder="0" applyAlignment="0" applyProtection="0">
      <alignment vertical="center"/>
    </xf>
    <xf numFmtId="0" fontId="56" fillId="26" borderId="31" applyNumberFormat="0" applyAlignment="0" applyProtection="0">
      <alignment vertical="center"/>
    </xf>
    <xf numFmtId="0" fontId="51" fillId="0" borderId="0"/>
    <xf numFmtId="2" fontId="58" fillId="0" borderId="0" applyFont="0" applyProtection="0"/>
    <xf numFmtId="0" fontId="69" fillId="0" borderId="37" applyNumberFormat="0" applyFill="0" applyAlignment="0" applyProtection="0">
      <alignment vertical="center"/>
    </xf>
    <xf numFmtId="0" fontId="62" fillId="0" borderId="34" applyNumberFormat="0" applyFill="0" applyAlignment="0" applyProtection="0">
      <alignment vertical="center"/>
    </xf>
    <xf numFmtId="0" fontId="72" fillId="46" borderId="0" applyNumberFormat="0" applyBorder="0" applyAlignment="0" applyProtection="0">
      <alignment vertical="center"/>
    </xf>
    <xf numFmtId="0" fontId="55" fillId="0" borderId="0"/>
    <xf numFmtId="0" fontId="71" fillId="44" borderId="0" applyNumberFormat="0" applyBorder="0" applyAlignment="0" applyProtection="0">
      <alignment vertical="center"/>
    </xf>
    <xf numFmtId="0" fontId="52" fillId="25" borderId="0" applyNumberFormat="0" applyBorder="0" applyAlignment="0" applyProtection="0">
      <alignment vertical="center"/>
    </xf>
    <xf numFmtId="0" fontId="48" fillId="40" borderId="0" applyNumberFormat="0" applyBorder="0" applyAlignment="0" applyProtection="0">
      <alignment vertical="center"/>
    </xf>
    <xf numFmtId="0" fontId="52" fillId="37" borderId="0" applyNumberFormat="0" applyBorder="0" applyAlignment="0" applyProtection="0">
      <alignment vertical="center"/>
    </xf>
    <xf numFmtId="0" fontId="52" fillId="47" borderId="0" applyNumberFormat="0" applyBorder="0" applyAlignment="0" applyProtection="0">
      <alignment vertical="center"/>
    </xf>
    <xf numFmtId="0" fontId="48" fillId="24" borderId="0" applyNumberFormat="0" applyBorder="0" applyAlignment="0" applyProtection="0">
      <alignment vertical="center"/>
    </xf>
    <xf numFmtId="0" fontId="48" fillId="35" borderId="0" applyNumberFormat="0" applyBorder="0" applyAlignment="0" applyProtection="0">
      <alignment vertical="center"/>
    </xf>
    <xf numFmtId="0" fontId="52" fillId="28" borderId="0" applyNumberFormat="0" applyBorder="0" applyAlignment="0" applyProtection="0">
      <alignment vertical="center"/>
    </xf>
    <xf numFmtId="0" fontId="55" fillId="0" borderId="0">
      <protection locked="0"/>
    </xf>
    <xf numFmtId="0" fontId="52" fillId="38" borderId="0" applyNumberFormat="0" applyBorder="0" applyAlignment="0" applyProtection="0">
      <alignment vertical="center"/>
    </xf>
    <xf numFmtId="0" fontId="48" fillId="17" borderId="0" applyNumberFormat="0" applyBorder="0" applyAlignment="0" applyProtection="0">
      <alignment vertical="center"/>
    </xf>
    <xf numFmtId="0" fontId="74" fillId="0" borderId="0" applyNumberFormat="0" applyFill="0" applyBorder="0" applyAlignment="0" applyProtection="0"/>
    <xf numFmtId="0" fontId="55" fillId="0" borderId="0"/>
    <xf numFmtId="0" fontId="52" fillId="30" borderId="0" applyNumberFormat="0" applyBorder="0" applyAlignment="0" applyProtection="0">
      <alignment vertical="center"/>
    </xf>
    <xf numFmtId="0" fontId="48" fillId="34" borderId="0" applyNumberFormat="0" applyBorder="0" applyAlignment="0" applyProtection="0">
      <alignment vertical="center"/>
    </xf>
    <xf numFmtId="0" fontId="48" fillId="20" borderId="0" applyNumberFormat="0" applyBorder="0" applyAlignment="0" applyProtection="0">
      <alignment vertical="center"/>
    </xf>
    <xf numFmtId="3" fontId="58" fillId="0" borderId="0" applyFont="0" applyProtection="0"/>
    <xf numFmtId="0" fontId="52" fillId="33" borderId="0" applyNumberFormat="0" applyBorder="0" applyAlignment="0" applyProtection="0">
      <alignment vertical="center"/>
    </xf>
    <xf numFmtId="0" fontId="48" fillId="18" borderId="0" applyNumberFormat="0" applyBorder="0" applyAlignment="0" applyProtection="0">
      <alignment vertical="center"/>
    </xf>
    <xf numFmtId="0" fontId="52" fillId="23" borderId="0" applyNumberFormat="0" applyBorder="0" applyAlignment="0" applyProtection="0">
      <alignment vertical="center"/>
    </xf>
    <xf numFmtId="0" fontId="52" fillId="45" borderId="0" applyNumberFormat="0" applyBorder="0" applyAlignment="0" applyProtection="0">
      <alignment vertical="center"/>
    </xf>
    <xf numFmtId="0" fontId="48" fillId="42" borderId="0" applyNumberFormat="0" applyBorder="0" applyAlignment="0" applyProtection="0">
      <alignment vertical="center"/>
    </xf>
    <xf numFmtId="0" fontId="52" fillId="27" borderId="0" applyNumberFormat="0" applyBorder="0" applyAlignment="0" applyProtection="0">
      <alignment vertical="center"/>
    </xf>
    <xf numFmtId="177" fontId="58" fillId="0" borderId="0" applyFont="0" applyProtection="0"/>
    <xf numFmtId="0" fontId="55" fillId="0" borderId="0"/>
    <xf numFmtId="1" fontId="76" fillId="0" borderId="0" applyFont="0"/>
    <xf numFmtId="0" fontId="55" fillId="0" borderId="0">
      <alignment horizontal="left" wrapText="1"/>
    </xf>
    <xf numFmtId="0" fontId="55" fillId="0" borderId="0"/>
    <xf numFmtId="184" fontId="75" fillId="49" borderId="0"/>
    <xf numFmtId="179" fontId="55" fillId="0" borderId="0" applyFont="0" applyFill="0" applyBorder="0" applyAlignment="0" applyProtection="0"/>
    <xf numFmtId="0" fontId="24" fillId="48" borderId="0" applyNumberFormat="0" applyBorder="0" applyAlignment="0" applyProtection="0"/>
    <xf numFmtId="0" fontId="55" fillId="0" borderId="0" applyNumberFormat="0" applyFill="0" applyBorder="0" applyAlignment="0" applyProtection="0"/>
    <xf numFmtId="43" fontId="55" fillId="0" borderId="0" applyFont="0" applyFill="0" applyBorder="0" applyAlignment="0" applyProtection="0"/>
    <xf numFmtId="0" fontId="78" fillId="50" borderId="36" applyNumberFormat="0" applyFont="0" applyAlignment="0" applyProtection="0"/>
    <xf numFmtId="43" fontId="0" fillId="0" borderId="0" applyFont="0" applyFill="0" applyBorder="0" applyAlignment="0" applyProtection="0"/>
    <xf numFmtId="43" fontId="78" fillId="0" borderId="0" applyFont="0" applyFill="0" applyBorder="0" applyAlignment="0" applyProtection="0"/>
    <xf numFmtId="187" fontId="55" fillId="0" borderId="0" applyFont="0" applyFill="0" applyBorder="0" applyAlignment="0" applyProtection="0"/>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41" fontId="75" fillId="0" borderId="0" applyFont="0" applyFill="0" applyBorder="0" applyAlignment="0" applyProtection="0"/>
    <xf numFmtId="178" fontId="55" fillId="0" borderId="0" applyFont="0" applyFill="0" applyBorder="0" applyAlignment="0" applyProtection="0"/>
    <xf numFmtId="181" fontId="75" fillId="0" borderId="0" applyFont="0" applyFill="0" applyBorder="0" applyAlignment="0" applyProtection="0"/>
    <xf numFmtId="186" fontId="75" fillId="0" borderId="0" applyFont="0" applyFill="0" applyBorder="0" applyAlignment="0" applyProtection="0"/>
    <xf numFmtId="182" fontId="66" fillId="0" borderId="0" applyFill="0" applyBorder="0" applyProtection="0">
      <alignment horizontal="right" vertical="center"/>
    </xf>
    <xf numFmtId="188" fontId="66" fillId="0" borderId="0" applyFill="0" applyBorder="0" applyProtection="0">
      <alignment horizontal="right" vertical="center"/>
    </xf>
    <xf numFmtId="0" fontId="73" fillId="0" borderId="0"/>
    <xf numFmtId="0" fontId="55" fillId="0" borderId="0"/>
    <xf numFmtId="0" fontId="55" fillId="0" borderId="0"/>
    <xf numFmtId="0" fontId="55" fillId="0" borderId="0">
      <alignment horizontal="left" wrapText="1"/>
    </xf>
    <xf numFmtId="0" fontId="0" fillId="0" borderId="0"/>
    <xf numFmtId="0" fontId="0" fillId="0" borderId="0"/>
    <xf numFmtId="0" fontId="55" fillId="0" borderId="0"/>
    <xf numFmtId="0" fontId="17" fillId="0" borderId="0"/>
    <xf numFmtId="0" fontId="79" fillId="0" borderId="0"/>
    <xf numFmtId="0" fontId="80" fillId="0" borderId="0"/>
    <xf numFmtId="9" fontId="55" fillId="0" borderId="0" applyFont="0" applyFill="0" applyBorder="0" applyAlignment="0" applyProtection="0"/>
    <xf numFmtId="9" fontId="83" fillId="0" borderId="0" applyFont="0" applyFill="0" applyBorder="0" applyAlignment="0" applyProtection="0"/>
    <xf numFmtId="0" fontId="75" fillId="0" borderId="0" applyNumberFormat="0" applyFont="0" applyBorder="0" applyAlignment="0"/>
    <xf numFmtId="0" fontId="55" fillId="0" borderId="0"/>
    <xf numFmtId="0" fontId="77" fillId="0" borderId="0"/>
    <xf numFmtId="0" fontId="55" fillId="0" borderId="25"/>
  </cellStyleXfs>
  <cellXfs count="239">
    <xf numFmtId="0" fontId="0" fillId="0" borderId="0" xfId="0"/>
    <xf numFmtId="0" fontId="1" fillId="0" borderId="0" xfId="0" applyFont="1"/>
    <xf numFmtId="0" fontId="2" fillId="0" borderId="0" xfId="0" applyFont="1" applyAlignment="1">
      <alignment horizontal="left" vertical="center" indent="4"/>
    </xf>
    <xf numFmtId="0" fontId="1" fillId="0" borderId="1" xfId="0" applyFont="1" applyBorder="1"/>
    <xf numFmtId="0" fontId="3" fillId="0" borderId="1" xfId="0" applyFont="1" applyBorder="1" applyAlignment="1">
      <alignment horizontal="right"/>
    </xf>
    <xf numFmtId="0" fontId="4" fillId="0" borderId="0" xfId="0" applyFont="1"/>
    <xf numFmtId="0" fontId="0" fillId="0" borderId="1" xfId="0" applyBorder="1"/>
    <xf numFmtId="0" fontId="0" fillId="2" borderId="1" xfId="0" applyFill="1" applyBorder="1" applyProtection="1">
      <protection locked="0"/>
    </xf>
    <xf numFmtId="189" fontId="0" fillId="0" borderId="1" xfId="0" applyNumberFormat="1" applyBorder="1"/>
    <xf numFmtId="189" fontId="0" fillId="0" borderId="2" xfId="0" applyNumberFormat="1" applyBorder="1"/>
    <xf numFmtId="0" fontId="0" fillId="2" borderId="0" xfId="0" applyFill="1" applyBorder="1" applyProtection="1">
      <protection locked="0"/>
    </xf>
    <xf numFmtId="0" fontId="0" fillId="0" borderId="3" xfId="0" applyBorder="1"/>
    <xf numFmtId="0" fontId="0" fillId="0" borderId="0" xfId="0" applyBorder="1"/>
    <xf numFmtId="189" fontId="0" fillId="0" borderId="3" xfId="0" applyNumberFormat="1" applyBorder="1"/>
    <xf numFmtId="0" fontId="3" fillId="0" borderId="0" xfId="0" applyFont="1" applyAlignment="1">
      <alignment horizontal="right"/>
    </xf>
    <xf numFmtId="0" fontId="0" fillId="0" borderId="2" xfId="0" applyFont="1" applyBorder="1"/>
    <xf numFmtId="0" fontId="0" fillId="2" borderId="2" xfId="0" applyFill="1" applyBorder="1" applyProtection="1">
      <protection locked="0"/>
    </xf>
    <xf numFmtId="189" fontId="0" fillId="0" borderId="2" xfId="0" applyNumberFormat="1" applyFont="1" applyBorder="1"/>
    <xf numFmtId="0" fontId="3" fillId="0" borderId="0" xfId="0" applyFont="1" applyBorder="1" applyAlignment="1">
      <alignment horizontal="right"/>
    </xf>
    <xf numFmtId="0" fontId="5" fillId="0" borderId="0" xfId="0" applyFont="1"/>
    <xf numFmtId="0" fontId="1" fillId="0" borderId="2" xfId="0" applyFont="1" applyBorder="1"/>
    <xf numFmtId="0" fontId="6" fillId="0" borderId="0" xfId="0" applyFont="1"/>
    <xf numFmtId="0" fontId="0" fillId="0" borderId="0" xfId="0" applyFont="1"/>
    <xf numFmtId="0" fontId="7" fillId="0" borderId="0" xfId="0" applyFont="1"/>
    <xf numFmtId="0" fontId="3" fillId="0" borderId="0" xfId="0" applyFont="1"/>
    <xf numFmtId="0" fontId="7" fillId="3" borderId="0" xfId="0" applyFont="1" applyFill="1" applyAlignment="1">
      <alignment horizontal="left"/>
    </xf>
    <xf numFmtId="0" fontId="7" fillId="3" borderId="0" xfId="0" applyFont="1" applyFill="1" applyAlignment="1">
      <alignment horizontal="right"/>
    </xf>
    <xf numFmtId="183" fontId="8" fillId="0" borderId="0" xfId="0" applyNumberFormat="1" applyFont="1" applyBorder="1"/>
    <xf numFmtId="183" fontId="7" fillId="0" borderId="0" xfId="0" applyNumberFormat="1" applyFont="1" applyBorder="1" applyAlignment="1">
      <alignment horizontal="left"/>
    </xf>
    <xf numFmtId="0" fontId="7" fillId="0" borderId="4" xfId="0" applyNumberFormat="1" applyFont="1" applyBorder="1" applyAlignment="1">
      <alignment horizontal="right"/>
    </xf>
    <xf numFmtId="0" fontId="9" fillId="0" borderId="0" xfId="0" applyFont="1"/>
    <xf numFmtId="183" fontId="10" fillId="0" borderId="0" xfId="0" applyNumberFormat="1" applyFont="1" applyBorder="1"/>
    <xf numFmtId="183" fontId="11" fillId="0" borderId="0" xfId="0" applyNumberFormat="1" applyFont="1" applyBorder="1" applyAlignment="1">
      <alignment horizontal="left"/>
    </xf>
    <xf numFmtId="183" fontId="7" fillId="0" borderId="0" xfId="0" applyNumberFormat="1" applyFont="1" applyBorder="1"/>
    <xf numFmtId="0" fontId="7" fillId="0" borderId="4" xfId="0" applyNumberFormat="1" applyFont="1" applyFill="1" applyBorder="1" applyAlignment="1">
      <alignment horizontal="right"/>
    </xf>
    <xf numFmtId="176" fontId="7" fillId="0" borderId="4" xfId="0" applyNumberFormat="1" applyFont="1" applyFill="1" applyBorder="1" applyAlignment="1">
      <alignment horizontal="right"/>
    </xf>
    <xf numFmtId="0" fontId="12" fillId="0" borderId="0" xfId="0" applyFont="1" applyFill="1" applyBorder="1" applyAlignment="1">
      <alignment horizontal="right" vertical="center" wrapText="1"/>
    </xf>
    <xf numFmtId="0" fontId="7" fillId="0" borderId="5" xfId="0" applyNumberFormat="1" applyFont="1" applyFill="1" applyBorder="1" applyAlignment="1">
      <alignment horizontal="right"/>
    </xf>
    <xf numFmtId="185" fontId="12" fillId="0" borderId="6" xfId="84" applyNumberFormat="1" applyFont="1" applyFill="1" applyBorder="1" applyAlignment="1" applyProtection="1">
      <alignment vertical="center" wrapText="1"/>
    </xf>
    <xf numFmtId="0" fontId="11" fillId="0" borderId="0" xfId="0" applyFont="1" applyFill="1"/>
    <xf numFmtId="0" fontId="7" fillId="0" borderId="0" xfId="0" applyFont="1" applyFill="1"/>
    <xf numFmtId="0" fontId="7" fillId="0" borderId="5" xfId="0" applyNumberFormat="1" applyFont="1" applyBorder="1" applyAlignment="1">
      <alignment horizontal="right"/>
    </xf>
    <xf numFmtId="0" fontId="12" fillId="0" borderId="6" xfId="84" applyFont="1" applyFill="1" applyBorder="1" applyAlignment="1" applyProtection="1">
      <alignment horizontal="right" vertical="center" wrapText="1"/>
    </xf>
    <xf numFmtId="0" fontId="12" fillId="0" borderId="0" xfId="13" applyFont="1" applyFill="1" applyBorder="1" applyAlignment="1" applyProtection="1">
      <alignment horizontal="right" vertical="center" wrapText="1"/>
    </xf>
    <xf numFmtId="185" fontId="12" fillId="0" borderId="6" xfId="84" applyNumberFormat="1" applyFont="1" applyFill="1" applyBorder="1" applyAlignment="1" applyProtection="1">
      <alignment vertical="center"/>
    </xf>
    <xf numFmtId="185" fontId="12" fillId="0" borderId="6" xfId="92" applyNumberFormat="1" applyFont="1" applyFill="1" applyBorder="1" applyAlignment="1">
      <alignment vertical="center" wrapText="1"/>
    </xf>
    <xf numFmtId="0" fontId="12" fillId="0" borderId="6" xfId="93" applyFont="1" applyFill="1" applyBorder="1" applyAlignment="1">
      <alignment horizontal="right" vertical="center" wrapText="1"/>
    </xf>
    <xf numFmtId="185" fontId="12" fillId="0" borderId="6" xfId="92" applyNumberFormat="1" applyFont="1" applyFill="1" applyBorder="1" applyAlignment="1">
      <alignment vertical="center"/>
    </xf>
    <xf numFmtId="0" fontId="7" fillId="0" borderId="0" xfId="0" applyNumberFormat="1" applyFont="1" applyFill="1" applyBorder="1" applyAlignment="1">
      <alignment horizontal="right"/>
    </xf>
    <xf numFmtId="0" fontId="7" fillId="4" borderId="4" xfId="0" applyNumberFormat="1" applyFont="1" applyFill="1" applyBorder="1" applyAlignment="1">
      <alignment horizontal="right"/>
    </xf>
    <xf numFmtId="0" fontId="6" fillId="0" borderId="0" xfId="0" applyFont="1" applyFill="1"/>
    <xf numFmtId="0" fontId="0" fillId="0" borderId="0" xfId="0" applyFill="1"/>
    <xf numFmtId="0" fontId="3" fillId="0" borderId="0" xfId="0" applyNumberFormat="1" applyFont="1"/>
    <xf numFmtId="0" fontId="9" fillId="0" borderId="0" xfId="0" applyNumberFormat="1" applyFont="1"/>
    <xf numFmtId="0" fontId="3" fillId="0" borderId="0" xfId="0" applyNumberFormat="1" applyFont="1" applyBorder="1"/>
    <xf numFmtId="0" fontId="8" fillId="0" borderId="4" xfId="0" applyNumberFormat="1" applyFont="1" applyBorder="1"/>
    <xf numFmtId="189" fontId="8" fillId="0" borderId="4" xfId="0" applyNumberFormat="1" applyFont="1" applyBorder="1"/>
    <xf numFmtId="176" fontId="8" fillId="0" borderId="4" xfId="0" applyNumberFormat="1" applyFont="1" applyBorder="1"/>
    <xf numFmtId="0" fontId="9" fillId="0" borderId="0" xfId="0" applyNumberFormat="1" applyFont="1" applyBorder="1"/>
    <xf numFmtId="0" fontId="10" fillId="0" borderId="4" xfId="0" applyNumberFormat="1" applyFont="1" applyBorder="1"/>
    <xf numFmtId="189" fontId="10" fillId="0" borderId="4" xfId="0" applyNumberFormat="1" applyFont="1" applyBorder="1"/>
    <xf numFmtId="176" fontId="10" fillId="0" borderId="4" xfId="0" applyNumberFormat="1" applyFont="1" applyBorder="1"/>
    <xf numFmtId="0" fontId="7" fillId="0" borderId="4" xfId="0" applyNumberFormat="1" applyFont="1" applyBorder="1"/>
    <xf numFmtId="189" fontId="7" fillId="0" borderId="4" xfId="0" applyNumberFormat="1" applyFont="1" applyBorder="1"/>
    <xf numFmtId="176" fontId="7" fillId="0" borderId="4" xfId="0" applyNumberFormat="1" applyFont="1" applyBorder="1"/>
    <xf numFmtId="176" fontId="0" fillId="0" borderId="0" xfId="0" applyNumberFormat="1"/>
    <xf numFmtId="0" fontId="0" fillId="0" borderId="0" xfId="0" applyAlignment="1">
      <alignment horizontal="left"/>
    </xf>
    <xf numFmtId="0" fontId="13" fillId="0" borderId="0" xfId="0" applyFont="1"/>
    <xf numFmtId="2" fontId="0" fillId="0" borderId="0" xfId="0" applyNumberFormat="1"/>
    <xf numFmtId="0" fontId="0" fillId="5" borderId="0" xfId="0" applyFill="1"/>
    <xf numFmtId="0" fontId="0" fillId="6" borderId="0" xfId="0" applyFill="1"/>
    <xf numFmtId="0" fontId="7" fillId="0" borderId="7" xfId="0" applyFont="1" applyBorder="1"/>
    <xf numFmtId="0" fontId="7" fillId="0" borderId="8" xfId="0" applyFont="1" applyBorder="1"/>
    <xf numFmtId="0" fontId="0" fillId="0" borderId="9" xfId="0" applyBorder="1"/>
    <xf numFmtId="0" fontId="0" fillId="6" borderId="0" xfId="0" applyFill="1" applyAlignment="1">
      <alignment horizontal="right"/>
    </xf>
    <xf numFmtId="177" fontId="7" fillId="0" borderId="7" xfId="0" applyNumberFormat="1" applyFont="1" applyBorder="1"/>
    <xf numFmtId="3" fontId="7" fillId="0" borderId="7" xfId="0" applyNumberFormat="1" applyFont="1" applyBorder="1"/>
    <xf numFmtId="177" fontId="7" fillId="0" borderId="8" xfId="0" applyNumberFormat="1" applyFont="1" applyBorder="1"/>
    <xf numFmtId="3" fontId="7" fillId="0" borderId="8" xfId="0" applyNumberFormat="1" applyFont="1" applyBorder="1"/>
    <xf numFmtId="0" fontId="14" fillId="0" borderId="0" xfId="0" applyFont="1"/>
    <xf numFmtId="0" fontId="15" fillId="0" borderId="0" xfId="0" applyFont="1"/>
    <xf numFmtId="0" fontId="16" fillId="7" borderId="0" xfId="0" applyFont="1" applyFill="1" applyAlignment="1">
      <alignment horizontal="left" vertical="top"/>
    </xf>
    <xf numFmtId="0" fontId="15" fillId="0" borderId="10" xfId="0" applyFont="1" applyBorder="1"/>
    <xf numFmtId="176" fontId="17" fillId="0" borderId="10" xfId="0" applyNumberFormat="1" applyFont="1" applyBorder="1" applyAlignment="1">
      <alignment horizontal="right"/>
    </xf>
    <xf numFmtId="0" fontId="17" fillId="0" borderId="10" xfId="0" applyNumberFormat="1" applyFont="1" applyBorder="1" applyAlignment="1">
      <alignment horizontal="right"/>
    </xf>
    <xf numFmtId="0" fontId="18" fillId="0" borderId="0" xfId="0" applyFont="1"/>
    <xf numFmtId="0" fontId="15" fillId="0" borderId="0" xfId="0" applyFont="1" applyBorder="1"/>
    <xf numFmtId="0" fontId="15" fillId="0" borderId="0" xfId="0" applyFont="1" applyFill="1" applyBorder="1" applyAlignment="1"/>
    <xf numFmtId="0" fontId="19" fillId="8" borderId="0" xfId="0" applyFont="1" applyFill="1" applyAlignment="1">
      <alignment horizontal="right" vertical="center"/>
    </xf>
    <xf numFmtId="0" fontId="16" fillId="7" borderId="0" xfId="0" applyFont="1" applyFill="1" applyAlignment="1">
      <alignment horizontal="right" vertical="center"/>
    </xf>
    <xf numFmtId="1" fontId="0" fillId="0" borderId="0" xfId="0" applyNumberFormat="1"/>
    <xf numFmtId="1" fontId="15" fillId="5" borderId="0" xfId="0" applyNumberFormat="1" applyFont="1" applyFill="1" applyBorder="1" applyAlignment="1">
      <alignment horizontal="left" vertical="center"/>
    </xf>
    <xf numFmtId="1" fontId="20" fillId="5" borderId="0" xfId="0" applyNumberFormat="1" applyFont="1" applyFill="1" applyBorder="1" applyAlignment="1">
      <alignment horizontal="left" vertical="center"/>
    </xf>
    <xf numFmtId="176" fontId="15" fillId="5" borderId="0" xfId="0" applyNumberFormat="1" applyFont="1" applyFill="1" applyBorder="1" applyAlignment="1">
      <alignment horizontal="right" vertical="center"/>
    </xf>
    <xf numFmtId="0" fontId="11" fillId="0" borderId="0" xfId="0" applyFont="1" applyAlignment="1">
      <alignment vertical="center"/>
    </xf>
    <xf numFmtId="0" fontId="0" fillId="0" borderId="0" xfId="0" applyAlignment="1">
      <alignment horizontal="left" vertical="center"/>
    </xf>
    <xf numFmtId="0" fontId="21" fillId="9" borderId="0" xfId="0" applyFont="1" applyFill="1" applyAlignment="1">
      <alignment vertical="top"/>
    </xf>
    <xf numFmtId="0" fontId="21" fillId="0" borderId="0" xfId="0" applyFont="1" applyFill="1" applyAlignment="1">
      <alignment vertical="top"/>
    </xf>
    <xf numFmtId="0" fontId="15" fillId="0" borderId="0" xfId="0" applyFont="1" applyAlignment="1">
      <alignment horizontal="left"/>
    </xf>
    <xf numFmtId="0" fontId="0" fillId="0" borderId="0" xfId="0" applyAlignment="1">
      <alignment horizontal="left" vertical="center" wrapText="1"/>
    </xf>
    <xf numFmtId="0" fontId="18" fillId="0" borderId="0" xfId="0" applyFont="1" applyFill="1" applyAlignment="1">
      <alignment horizontal="center"/>
    </xf>
    <xf numFmtId="0" fontId="15" fillId="0" borderId="0" xfId="0" applyFont="1" applyBorder="1" applyAlignment="1">
      <alignment horizontal="right"/>
    </xf>
    <xf numFmtId="0" fontId="22" fillId="0" borderId="0" xfId="0" applyFont="1" applyFill="1" applyAlignment="1">
      <alignment vertical="center"/>
    </xf>
    <xf numFmtId="0" fontId="23" fillId="0" borderId="0" xfId="0" applyFont="1"/>
    <xf numFmtId="0" fontId="7" fillId="3" borderId="11" xfId="0" applyFont="1" applyFill="1" applyBorder="1" applyAlignment="1">
      <alignment horizontal="right"/>
    </xf>
    <xf numFmtId="0" fontId="0" fillId="10" borderId="12" xfId="0" applyFill="1" applyBorder="1" applyAlignment="1">
      <alignment vertical="center"/>
    </xf>
    <xf numFmtId="0" fontId="0" fillId="10" borderId="12" xfId="0" applyFill="1" applyBorder="1" applyAlignment="1">
      <alignment horizontal="right" vertical="center"/>
    </xf>
    <xf numFmtId="0" fontId="0" fillId="11" borderId="12" xfId="0" applyFill="1" applyBorder="1" applyAlignment="1">
      <alignment vertical="center"/>
    </xf>
    <xf numFmtId="0" fontId="0" fillId="11" borderId="12" xfId="0" applyFill="1" applyBorder="1" applyAlignment="1">
      <alignment horizontal="right" vertical="center"/>
    </xf>
    <xf numFmtId="0" fontId="24" fillId="12" borderId="0" xfId="0" applyFont="1" applyFill="1" applyAlignment="1">
      <alignment horizontal="centerContinuous"/>
    </xf>
    <xf numFmtId="0" fontId="0" fillId="12" borderId="0" xfId="0" applyFill="1" applyAlignment="1">
      <alignment horizontal="centerContinuous"/>
    </xf>
    <xf numFmtId="0" fontId="0" fillId="6" borderId="0" xfId="0" applyFill="1" applyAlignment="1">
      <alignment horizontal="centerContinuous"/>
    </xf>
    <xf numFmtId="176" fontId="7" fillId="0" borderId="0" xfId="0" applyNumberFormat="1" applyFont="1"/>
    <xf numFmtId="176" fontId="23" fillId="0" borderId="0" xfId="0" applyNumberFormat="1" applyFont="1"/>
    <xf numFmtId="0" fontId="25" fillId="0" borderId="0" xfId="0" applyFont="1"/>
    <xf numFmtId="0" fontId="7" fillId="3" borderId="11" xfId="0" applyFont="1" applyFill="1" applyBorder="1" applyAlignment="1">
      <alignment horizontal="right" wrapText="1"/>
    </xf>
    <xf numFmtId="0" fontId="7" fillId="0" borderId="0" xfId="0" applyFont="1" applyAlignment="1">
      <alignment horizontal="right"/>
    </xf>
    <xf numFmtId="176" fontId="0" fillId="10" borderId="12" xfId="0" applyNumberFormat="1" applyFill="1" applyBorder="1" applyAlignment="1">
      <alignment horizontal="right" vertical="center"/>
    </xf>
    <xf numFmtId="176" fontId="0" fillId="0" borderId="0" xfId="0" applyNumberFormat="1" applyAlignment="1">
      <alignment horizontal="right"/>
    </xf>
    <xf numFmtId="176" fontId="0" fillId="11" borderId="12" xfId="0" applyNumberFormat="1" applyFill="1" applyBorder="1" applyAlignment="1">
      <alignment horizontal="right" vertical="center"/>
    </xf>
    <xf numFmtId="0" fontId="24" fillId="4" borderId="0" xfId="0" applyFont="1" applyFill="1" applyAlignment="1">
      <alignment horizontal="centerContinuous"/>
    </xf>
    <xf numFmtId="0" fontId="6" fillId="0" borderId="0" xfId="0" applyFont="1" applyAlignment="1">
      <alignment horizontal="left"/>
    </xf>
    <xf numFmtId="0" fontId="0" fillId="3" borderId="0" xfId="0" applyFill="1"/>
    <xf numFmtId="0" fontId="4" fillId="11" borderId="12" xfId="0" applyFont="1" applyFill="1" applyBorder="1" applyAlignment="1">
      <alignment horizontal="right" vertical="center"/>
    </xf>
    <xf numFmtId="177" fontId="0" fillId="11" borderId="12" xfId="0" applyNumberFormat="1" applyFont="1" applyFill="1" applyBorder="1" applyAlignment="1">
      <alignment horizontal="right" vertical="center"/>
    </xf>
    <xf numFmtId="176" fontId="26" fillId="11" borderId="12" xfId="0" applyNumberFormat="1" applyFont="1" applyFill="1" applyBorder="1" applyAlignment="1">
      <alignment horizontal="left" vertical="center" indent="1"/>
    </xf>
    <xf numFmtId="176" fontId="27" fillId="11" borderId="12" xfId="0" applyNumberFormat="1" applyFont="1" applyFill="1" applyBorder="1" applyAlignment="1">
      <alignment horizontal="right" vertical="center"/>
    </xf>
    <xf numFmtId="0" fontId="0" fillId="0" borderId="0" xfId="0" applyAlignment="1">
      <alignment vertical="center"/>
    </xf>
    <xf numFmtId="0" fontId="4" fillId="11" borderId="13" xfId="0" applyFont="1" applyFill="1" applyBorder="1" applyAlignment="1">
      <alignment horizontal="right" vertical="center"/>
    </xf>
    <xf numFmtId="0" fontId="0" fillId="11" borderId="13" xfId="0" applyFill="1" applyBorder="1" applyAlignment="1">
      <alignment vertical="center"/>
    </xf>
    <xf numFmtId="176" fontId="26" fillId="11" borderId="13" xfId="0" applyNumberFormat="1" applyFont="1" applyFill="1" applyBorder="1" applyAlignment="1">
      <alignment horizontal="left" vertical="center" indent="1"/>
    </xf>
    <xf numFmtId="0" fontId="4" fillId="11" borderId="14" xfId="0" applyFont="1" applyFill="1" applyBorder="1" applyAlignment="1">
      <alignment horizontal="right" vertical="center"/>
    </xf>
    <xf numFmtId="0" fontId="0" fillId="11" borderId="14" xfId="0" applyFill="1" applyBorder="1" applyAlignment="1">
      <alignment vertical="center"/>
    </xf>
    <xf numFmtId="176" fontId="26" fillId="11" borderId="14" xfId="0" applyNumberFormat="1" applyFont="1" applyFill="1" applyBorder="1" applyAlignment="1">
      <alignment horizontal="left" vertical="center" indent="1"/>
    </xf>
    <xf numFmtId="0" fontId="0" fillId="0" borderId="0" xfId="0" applyAlignment="1">
      <alignment horizontal="left" vertical="top" wrapText="1"/>
    </xf>
    <xf numFmtId="0" fontId="6" fillId="0" borderId="0" xfId="0" applyFont="1" applyAlignment="1">
      <alignment vertical="top" wrapText="1"/>
    </xf>
    <xf numFmtId="0" fontId="0" fillId="0" borderId="0" xfId="0" applyAlignment="1">
      <alignment vertical="top" wrapText="1"/>
    </xf>
    <xf numFmtId="0" fontId="24" fillId="4" borderId="0" xfId="0" applyFont="1" applyFill="1" applyAlignment="1">
      <alignment horizontal="left" vertical="top" wrapText="1"/>
    </xf>
    <xf numFmtId="0" fontId="0" fillId="0" borderId="0" xfId="0" applyAlignment="1">
      <alignment vertical="top"/>
    </xf>
    <xf numFmtId="0" fontId="0" fillId="13" borderId="0" xfId="0" applyFill="1" applyAlignment="1">
      <alignment horizontal="left" vertical="top" wrapText="1"/>
    </xf>
    <xf numFmtId="2" fontId="0" fillId="11" borderId="12" xfId="0" applyNumberFormat="1" applyFill="1" applyBorder="1" applyAlignment="1">
      <alignment vertical="center"/>
    </xf>
    <xf numFmtId="0" fontId="0" fillId="0" borderId="12" xfId="0" applyBorder="1"/>
    <xf numFmtId="0" fontId="0" fillId="0" borderId="13" xfId="0" applyBorder="1"/>
    <xf numFmtId="0" fontId="0" fillId="0" borderId="14" xfId="0" applyBorder="1"/>
    <xf numFmtId="0" fontId="0" fillId="13" borderId="0" xfId="0" applyFill="1" applyAlignment="1">
      <alignment vertical="top" wrapText="1"/>
    </xf>
    <xf numFmtId="0" fontId="0" fillId="0" borderId="0" xfId="0" applyProtection="1"/>
    <xf numFmtId="0" fontId="0" fillId="0" borderId="0" xfId="0" applyAlignment="1" applyProtection="1">
      <alignment vertical="top" wrapText="1"/>
    </xf>
    <xf numFmtId="0" fontId="13" fillId="0" borderId="0" xfId="0" applyFont="1" applyProtection="1"/>
    <xf numFmtId="0" fontId="6" fillId="0" borderId="0" xfId="0" applyFont="1" applyProtection="1"/>
    <xf numFmtId="0" fontId="28" fillId="0" borderId="0" xfId="0" applyFont="1"/>
    <xf numFmtId="0" fontId="29" fillId="0" borderId="0" xfId="0" applyFont="1"/>
    <xf numFmtId="0" fontId="30" fillId="0" borderId="0" xfId="0" applyFont="1"/>
    <xf numFmtId="0" fontId="31" fillId="0" borderId="0" xfId="0" applyFont="1"/>
    <xf numFmtId="0" fontId="0" fillId="14" borderId="0" xfId="0" applyFill="1"/>
    <xf numFmtId="0" fontId="32" fillId="0" borderId="0" xfId="0" applyFont="1"/>
    <xf numFmtId="0" fontId="0" fillId="0" borderId="0" xfId="0" applyAlignment="1">
      <alignment horizontal="right"/>
    </xf>
    <xf numFmtId="0" fontId="18" fillId="0" borderId="15" xfId="0" applyFont="1" applyBorder="1"/>
    <xf numFmtId="0" fontId="28" fillId="0" borderId="16" xfId="0" applyFont="1" applyBorder="1"/>
    <xf numFmtId="0" fontId="28" fillId="0" borderId="17" xfId="0" applyFont="1" applyBorder="1"/>
    <xf numFmtId="0" fontId="18" fillId="0" borderId="18" xfId="0" applyFont="1" applyBorder="1"/>
    <xf numFmtId="0" fontId="28" fillId="0" borderId="19" xfId="0" applyFont="1" applyBorder="1"/>
    <xf numFmtId="0" fontId="28" fillId="0" borderId="20" xfId="0" applyFont="1" applyBorder="1"/>
    <xf numFmtId="0" fontId="18" fillId="0" borderId="0" xfId="0" applyFont="1" applyBorder="1"/>
    <xf numFmtId="0" fontId="18" fillId="0" borderId="0" xfId="0" applyFont="1" applyBorder="1" applyAlignment="1">
      <alignment horizontal="right"/>
    </xf>
    <xf numFmtId="0" fontId="33" fillId="0" borderId="0" xfId="0" applyFont="1"/>
    <xf numFmtId="0" fontId="18" fillId="0" borderId="0" xfId="0" applyFont="1" applyAlignment="1">
      <alignment horizontal="right"/>
    </xf>
    <xf numFmtId="0" fontId="18" fillId="0" borderId="0" xfId="0" applyFont="1" applyAlignment="1">
      <alignment horizontal="left"/>
    </xf>
    <xf numFmtId="0" fontId="18" fillId="0" borderId="21" xfId="0" applyFont="1" applyBorder="1"/>
    <xf numFmtId="0" fontId="18" fillId="0" borderId="22" xfId="0" applyFont="1" applyBorder="1"/>
    <xf numFmtId="0" fontId="18" fillId="0" borderId="23" xfId="0" applyFont="1" applyBorder="1"/>
    <xf numFmtId="0" fontId="18" fillId="0" borderId="24" xfId="0" applyFont="1" applyBorder="1"/>
    <xf numFmtId="0" fontId="18" fillId="0" borderId="25" xfId="0" applyFont="1" applyBorder="1"/>
    <xf numFmtId="0" fontId="18" fillId="15" borderId="0" xfId="0" applyFont="1" applyFill="1"/>
    <xf numFmtId="1" fontId="18" fillId="0" borderId="0" xfId="0" applyNumberFormat="1" applyFont="1"/>
    <xf numFmtId="176" fontId="18" fillId="0" borderId="0" xfId="0" applyNumberFormat="1" applyFont="1"/>
    <xf numFmtId="0" fontId="0" fillId="0" borderId="0" xfId="0" applyAlignment="1" applyProtection="1">
      <alignment horizontal="center" wrapText="1"/>
    </xf>
    <xf numFmtId="0" fontId="34" fillId="0" borderId="0" xfId="0" applyFont="1" applyAlignment="1">
      <alignment vertical="top"/>
    </xf>
    <xf numFmtId="0" fontId="35" fillId="0" borderId="0" xfId="0" applyFont="1"/>
    <xf numFmtId="0" fontId="35" fillId="0" borderId="0" xfId="0" applyNumberFormat="1" applyFont="1"/>
    <xf numFmtId="1" fontId="8" fillId="0" borderId="4" xfId="0" applyNumberFormat="1" applyFont="1" applyBorder="1"/>
    <xf numFmtId="0" fontId="35" fillId="0" borderId="0" xfId="0" applyNumberFormat="1" applyFont="1" applyBorder="1"/>
    <xf numFmtId="1" fontId="7" fillId="0" borderId="4" xfId="0" applyNumberFormat="1" applyFont="1" applyBorder="1"/>
    <xf numFmtId="0" fontId="36" fillId="0" borderId="0" xfId="0" applyFont="1"/>
    <xf numFmtId="0" fontId="3" fillId="14" borderId="0" xfId="0" applyFont="1" applyFill="1"/>
    <xf numFmtId="0" fontId="3" fillId="5" borderId="0" xfId="0" applyFont="1" applyFill="1"/>
    <xf numFmtId="0" fontId="26" fillId="0" borderId="0" xfId="0" applyFont="1"/>
    <xf numFmtId="0" fontId="3" fillId="0" borderId="0" xfId="0" applyFont="1" applyAlignment="1"/>
    <xf numFmtId="0" fontId="3" fillId="5" borderId="0" xfId="0" applyFont="1" applyFill="1" applyAlignment="1">
      <alignment horizontal="right"/>
    </xf>
    <xf numFmtId="11" fontId="3" fillId="0" borderId="0" xfId="0" applyNumberFormat="1" applyFont="1"/>
    <xf numFmtId="0" fontId="18" fillId="0" borderId="26" xfId="0" applyFont="1" applyBorder="1" applyAlignment="1">
      <alignment horizontal="left"/>
    </xf>
    <xf numFmtId="0" fontId="33" fillId="0" borderId="0" xfId="0" applyFont="1" applyAlignment="1">
      <alignment horizontal="right"/>
    </xf>
    <xf numFmtId="0" fontId="33" fillId="0" borderId="27" xfId="0" applyFont="1" applyBorder="1" applyAlignment="1"/>
    <xf numFmtId="0" fontId="16" fillId="0" borderId="0" xfId="0" applyFont="1"/>
    <xf numFmtId="0" fontId="16" fillId="0" borderId="26" xfId="0" applyFont="1" applyBorder="1" applyAlignment="1">
      <alignment horizontal="left"/>
    </xf>
    <xf numFmtId="0" fontId="37" fillId="0" borderId="0" xfId="0" applyFont="1" applyAlignment="1">
      <alignment horizontal="right"/>
    </xf>
    <xf numFmtId="0" fontId="38" fillId="0" borderId="0" xfId="0" applyFont="1"/>
    <xf numFmtId="0" fontId="17" fillId="0" borderId="0" xfId="0" applyFont="1" applyBorder="1" applyAlignment="1">
      <alignment horizontal="left"/>
    </xf>
    <xf numFmtId="0" fontId="17" fillId="0" borderId="26" xfId="0" applyFont="1" applyBorder="1" applyAlignment="1">
      <alignment horizontal="left"/>
    </xf>
    <xf numFmtId="0" fontId="39" fillId="0" borderId="0" xfId="0" applyFont="1"/>
    <xf numFmtId="0" fontId="17" fillId="0" borderId="28" xfId="0" applyFont="1" applyBorder="1" applyAlignment="1">
      <alignment horizontal="left"/>
    </xf>
    <xf numFmtId="0" fontId="3" fillId="0" borderId="0" xfId="0" applyFont="1" applyFill="1"/>
    <xf numFmtId="0" fontId="35" fillId="0" borderId="0" xfId="0" applyFont="1" applyFill="1"/>
    <xf numFmtId="0" fontId="36" fillId="0" borderId="0" xfId="0" applyFont="1" applyFill="1"/>
    <xf numFmtId="0" fontId="40" fillId="0" borderId="0" xfId="0" applyFont="1"/>
    <xf numFmtId="0" fontId="41" fillId="0" borderId="0" xfId="0" applyFont="1" applyAlignment="1"/>
    <xf numFmtId="0" fontId="41" fillId="0" borderId="0" xfId="0" applyFont="1" applyFill="1" applyAlignment="1"/>
    <xf numFmtId="0" fontId="35" fillId="0" borderId="0" xfId="0" applyFont="1" applyAlignment="1"/>
    <xf numFmtId="0" fontId="42" fillId="0" borderId="0" xfId="0" applyFont="1" applyFill="1" applyAlignment="1"/>
    <xf numFmtId="0" fontId="43" fillId="0" borderId="0" xfId="0" applyFont="1" applyFill="1" applyAlignment="1"/>
    <xf numFmtId="0" fontId="44" fillId="0" borderId="0" xfId="0" applyFont="1" applyFill="1" applyAlignment="1"/>
    <xf numFmtId="0" fontId="43" fillId="0" borderId="0" xfId="0" applyFont="1" applyAlignment="1"/>
    <xf numFmtId="0" fontId="44" fillId="0" borderId="0" xfId="0" applyFont="1" applyAlignment="1"/>
    <xf numFmtId="0" fontId="42" fillId="0" borderId="0" xfId="0" applyFont="1" applyAlignment="1"/>
    <xf numFmtId="0" fontId="3" fillId="0" borderId="0" xfId="0" applyFont="1" applyFill="1" applyAlignment="1"/>
    <xf numFmtId="49" fontId="3" fillId="0" borderId="0" xfId="0" applyNumberFormat="1" applyFont="1" applyFill="1" applyAlignment="1"/>
    <xf numFmtId="0" fontId="0" fillId="0" borderId="0" xfId="0" applyFill="1" applyAlignment="1"/>
    <xf numFmtId="0" fontId="3" fillId="16" borderId="0" xfId="0" applyFont="1" applyFill="1" applyAlignment="1"/>
    <xf numFmtId="0" fontId="0" fillId="16" borderId="0" xfId="0" applyFill="1" applyAlignment="1"/>
    <xf numFmtId="0" fontId="35" fillId="0" borderId="0" xfId="0" applyFont="1" applyFill="1" applyAlignment="1"/>
    <xf numFmtId="49" fontId="35" fillId="0" borderId="0" xfId="0" applyNumberFormat="1" applyFont="1" applyFill="1" applyAlignment="1"/>
    <xf numFmtId="49" fontId="43" fillId="0" borderId="0" xfId="0" applyNumberFormat="1" applyFont="1" applyFill="1" applyAlignment="1"/>
    <xf numFmtId="49" fontId="44" fillId="0" borderId="0" xfId="0" applyNumberFormat="1" applyFont="1" applyFill="1" applyAlignment="1"/>
    <xf numFmtId="49" fontId="41" fillId="0" borderId="0" xfId="0" applyNumberFormat="1" applyFont="1" applyFill="1" applyAlignment="1"/>
    <xf numFmtId="49" fontId="42" fillId="0" borderId="0" xfId="0" applyNumberFormat="1" applyFont="1" applyFill="1" applyAlignment="1"/>
    <xf numFmtId="0" fontId="45" fillId="0" borderId="0" xfId="0" applyFont="1" applyFill="1" applyBorder="1" applyAlignment="1">
      <alignment horizontal="left" vertical="top" readingOrder="1"/>
    </xf>
    <xf numFmtId="0" fontId="44" fillId="0" borderId="0" xfId="0" applyFont="1" applyFill="1" applyAlignment="1">
      <alignment vertical="top" wrapText="1"/>
    </xf>
    <xf numFmtId="0" fontId="44" fillId="0" borderId="0" xfId="0" applyFont="1" applyFill="1" applyAlignment="1">
      <alignment wrapText="1"/>
    </xf>
    <xf numFmtId="0" fontId="41" fillId="0" borderId="0" xfId="0" applyFont="1" applyFill="1" applyAlignment="1">
      <alignment vertical="top" wrapText="1"/>
    </xf>
    <xf numFmtId="0" fontId="46" fillId="0" borderId="0" xfId="0" applyFont="1" applyFill="1" applyAlignment="1"/>
    <xf numFmtId="0" fontId="12" fillId="10" borderId="29" xfId="0" applyFont="1" applyFill="1" applyBorder="1" applyAlignment="1">
      <alignment horizontal="left" vertical="center" wrapText="1"/>
    </xf>
    <xf numFmtId="0" fontId="43" fillId="0" borderId="0" xfId="0" applyFont="1" applyFill="1" applyAlignment="1">
      <alignment wrapText="1"/>
    </xf>
    <xf numFmtId="0" fontId="35" fillId="16" borderId="0" xfId="0" applyFont="1" applyFill="1" applyAlignment="1"/>
    <xf numFmtId="0" fontId="43" fillId="16" borderId="0" xfId="0" applyFont="1" applyFill="1" applyAlignment="1"/>
    <xf numFmtId="0" fontId="36" fillId="16" borderId="0" xfId="0" applyFont="1" applyFill="1" applyAlignment="1"/>
    <xf numFmtId="0" fontId="44" fillId="16" borderId="0" xfId="0" applyFont="1" applyFill="1" applyAlignment="1"/>
    <xf numFmtId="0" fontId="47" fillId="16" borderId="0" xfId="0" applyFont="1" applyFill="1" applyAlignment="1"/>
    <xf numFmtId="0" fontId="41" fillId="16" borderId="0" xfId="0" applyFont="1" applyFill="1" applyAlignment="1"/>
    <xf numFmtId="0" fontId="42" fillId="16" borderId="0" xfId="0" applyFont="1" applyFill="1" applyAlignment="1"/>
    <xf numFmtId="0" fontId="18" fillId="0" borderId="0" xfId="0" applyFont="1" applyFill="1"/>
    <xf numFmtId="0" fontId="18" fillId="0" borderId="0" xfId="0" applyFont="1" quotePrefix="1"/>
  </cellXfs>
  <cellStyles count="107">
    <cellStyle name="Normal" xfId="0" builtinId="0"/>
    <cellStyle name="40% - Accent1" xfId="1" builtinId="31"/>
    <cellStyle name="Comma" xfId="2" builtinId="3"/>
    <cellStyle name="Comma [0]" xfId="3" builtinId="6"/>
    <cellStyle name="_x000a__x000a_JournalTemplate=C:\COMFO\CTALK\JOURSTD.TPL_x000a__x000a_LbStateAddress=3 3 0 251 1 89 2 311_x000a__x000a_LbStateJou" xfId="4"/>
    <cellStyle name="Currency [0]" xfId="5" builtinId="7"/>
    <cellStyle name="Currency" xfId="6" builtinId="4"/>
    <cellStyle name="_CNWB" xfId="7"/>
    <cellStyle name="Percent" xfId="8" builtinId="5"/>
    <cellStyle name="Check Cell" xfId="9" builtinId="23"/>
    <cellStyle name="F8" xfId="10"/>
    <cellStyle name="Heading 2" xfId="11" builtinId="17"/>
    <cellStyle name="Note" xfId="12" builtinId="10"/>
    <cellStyle name="Hyperlink" xfId="13" builtinId="8"/>
    <cellStyle name="60% - Accent4" xfId="14" builtinId="44"/>
    <cellStyle name="Followed Hyperlink" xfId="15" builtinId="9"/>
    <cellStyle name="40% - Accent3" xfId="16" builtinId="39"/>
    <cellStyle name="Warning Text" xfId="17" builtinId="11"/>
    <cellStyle name="!Decimal (1)" xfId="18"/>
    <cellStyle name="40% - Accent2" xfId="19" builtinId="35"/>
    <cellStyle name="Title" xfId="20" builtinId="15"/>
    <cellStyle name="_CountryIndicators" xfId="21"/>
    <cellStyle name="CExplanatory Text" xfId="22" builtinId="53"/>
    <cellStyle name="F7" xfId="23"/>
    <cellStyle name="Heading 1" xfId="24" builtinId="16"/>
    <cellStyle name="Heading 3" xfId="25" builtinId="18"/>
    <cellStyle name="=C:\WINNT\SYSTEM32\COMMAND.COM" xfId="26"/>
    <cellStyle name="Heading 4" xfId="27" builtinId="19"/>
    <cellStyle name="_Working" xfId="28"/>
    <cellStyle name="Input" xfId="29" builtinId="20"/>
    <cellStyle name="60% - Accent3" xfId="30" builtinId="40"/>
    <cellStyle name="Good" xfId="31" builtinId="26"/>
    <cellStyle name="Output" xfId="32" builtinId="21"/>
    <cellStyle name="20% - Accent1" xfId="33" builtinId="30"/>
    <cellStyle name="Calculation" xfId="34" builtinId="22"/>
    <cellStyle name="_DOW_CHEMICAL_INTERNAL_0.93" xfId="35"/>
    <cellStyle name="!Decimal (2)" xfId="36"/>
    <cellStyle name="Linked Cell" xfId="37" builtinId="24"/>
    <cellStyle name="Total" xfId="38" builtinId="25"/>
    <cellStyle name="Bad" xfId="39" builtinId="27"/>
    <cellStyle name="_China_Hotspots_BER_SX" xfId="40"/>
    <cellStyle name="Neutral" xfId="41" builtinId="28"/>
    <cellStyle name="Accent1" xfId="42" builtinId="29"/>
    <cellStyle name="20% - Accent5" xfId="43" builtinId="46"/>
    <cellStyle name="60% - Accent1" xfId="44" builtinId="32"/>
    <cellStyle name="Accent2" xfId="45" builtinId="33"/>
    <cellStyle name="20% - Accent2" xfId="46" builtinId="34"/>
    <cellStyle name="20% - Accent6" xfId="47" builtinId="50"/>
    <cellStyle name="60% - Accent2" xfId="48" builtinId="36"/>
    <cellStyle name="_Data" xfId="49"/>
    <cellStyle name="Accent3" xfId="50" builtinId="37"/>
    <cellStyle name="20% - Accent3" xfId="51" builtinId="38"/>
    <cellStyle name="Style 1" xfId="52"/>
    <cellStyle name="_XSection6" xfId="53"/>
    <cellStyle name="Accent4" xfId="54" builtinId="41"/>
    <cellStyle name="20% - Accent4" xfId="55" builtinId="42"/>
    <cellStyle name="40% - Accent4" xfId="56" builtinId="43"/>
    <cellStyle name="!Comma (0)" xfId="57"/>
    <cellStyle name="Accent5" xfId="58" builtinId="45"/>
    <cellStyle name="40% - Accent5" xfId="59" builtinId="47"/>
    <cellStyle name="60% - Accent5" xfId="60" builtinId="48"/>
    <cellStyle name="Accent6" xfId="61" builtinId="49"/>
    <cellStyle name="40% - Accent6" xfId="62" builtinId="51"/>
    <cellStyle name="60% - Accent6" xfId="63" builtinId="52"/>
    <cellStyle name="!Comma (1)" xfId="64"/>
    <cellStyle name="_IFS1" xfId="65"/>
    <cellStyle name="!Year" xfId="66"/>
    <cellStyle name="_FinancialIndicators" xfId="67"/>
    <cellStyle name="0,0_x000a__x000a_NA_x000a__x000a_" xfId="68"/>
    <cellStyle name="nPlode" xfId="69"/>
    <cellStyle name="A satisfied Microsoft Office user" xfId="70"/>
    <cellStyle name="Accent1 2" xfId="71"/>
    <cellStyle name="ANCLAS,REZONES Y SUS PARTES,DE FUNDICION,DE HIERRO O DE ACERO" xfId="72"/>
    <cellStyle name="Comma 2" xfId="73"/>
    <cellStyle name="Note 2" xfId="74"/>
    <cellStyle name="Comma 3" xfId="75"/>
    <cellStyle name="Comma 4" xfId="76"/>
    <cellStyle name="Euro" xfId="77"/>
    <cellStyle name="F2" xfId="78"/>
    <cellStyle name="F3" xfId="79"/>
    <cellStyle name="F4" xfId="80"/>
    <cellStyle name="F5" xfId="81"/>
    <cellStyle name="F6" xfId="82"/>
    <cellStyle name="Hyperlink 2" xfId="83"/>
    <cellStyle name="Hyperlink 5" xfId="84"/>
    <cellStyle name="Millares [0]_COLOC00" xfId="85"/>
    <cellStyle name="Millares_Apctasnacionles" xfId="86"/>
    <cellStyle name="Moneda [0]_COLOC00" xfId="87"/>
    <cellStyle name="Moneda_COLOC00" xfId="88"/>
    <cellStyle name="n1" xfId="89"/>
    <cellStyle name="n2" xfId="90"/>
    <cellStyle name="Navadno_Vse BOP skupaj" xfId="91"/>
    <cellStyle name="Normal 10 3" xfId="92"/>
    <cellStyle name="Normal 19" xfId="93"/>
    <cellStyle name="Normal 2" xfId="94"/>
    <cellStyle name="Normal 2 2" xfId="95"/>
    <cellStyle name="Normal 3" xfId="96"/>
    <cellStyle name="Normal 4" xfId="97"/>
    <cellStyle name="Normal 5" xfId="98"/>
    <cellStyle name="Normal 6" xfId="99"/>
    <cellStyle name="Normalny_Arkusz1" xfId="100"/>
    <cellStyle name="Percent 2" xfId="101"/>
    <cellStyle name="Percent 3" xfId="102"/>
    <cellStyle name="sample" xfId="103"/>
    <cellStyle name="Style 1 2" xfId="104"/>
    <cellStyle name="常规_341-372刘苗 2_1999-2010 City Data(For London)full_RS" xfId="105"/>
    <cellStyle name="年資料" xfId="106"/>
  </cellStyles>
  <dxfs count="7">
    <dxf>
      <fill>
        <patternFill patternType="solid">
          <bgColor theme="0"/>
        </patternFill>
      </fill>
    </dxf>
    <dxf>
      <font>
        <color theme="0"/>
      </font>
      <fill>
        <patternFill patternType="solid">
          <bgColor rgb="FF0070C0"/>
        </patternFill>
      </fill>
    </dxf>
    <dxf>
      <font>
        <color theme="0"/>
      </font>
      <fill>
        <patternFill patternType="solid">
          <bgColor theme="9" tint="-0.249946592608417"/>
        </patternFill>
      </fill>
    </dxf>
    <dxf>
      <font>
        <color theme="0" tint="-0.249946592608417"/>
      </font>
    </dxf>
    <dxf>
      <fill>
        <patternFill patternType="none"/>
      </fill>
    </dxf>
    <dxf>
      <font>
        <color rgb="FF00B05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808080"/>
      <rgbColor rgb="000070C0"/>
      <rgbColor rgb="0000FF00"/>
      <rgbColor rgb="0000B050"/>
      <rgbColor rgb="00D91F35"/>
      <rgbColor rgb="00C0C0C0"/>
      <rgbColor rgb="00808080"/>
      <rgbColor rgb="00F0F0F0"/>
      <rgbColor rgb="00005E9E"/>
      <rgbColor rgb="00808080"/>
      <rgbColor rgb="00F2F2F2"/>
      <rgbColor rgb="00808080"/>
      <rgbColor rgb="00F6F1DC"/>
      <rgbColor rgb="00F2F2F2"/>
      <rgbColor rgb="00F6F1DC"/>
      <rgbColor rgb="00D4DDD4"/>
      <rgbColor rgb="00808080"/>
      <rgbColor rgb="00FFFFCC"/>
      <rgbColor rgb="00F6F1DC"/>
      <rgbColor rgb="00FFFFFF"/>
      <rgbColor rgb="00C0C0C0"/>
      <rgbColor rgb="00E0E0E0"/>
      <rgbColor rgb="00C0C0C0"/>
      <rgbColor rgb="000063BA"/>
      <rgbColor rgb="00C0C0C0"/>
      <rgbColor rgb="00F7D20A"/>
      <rgbColor rgb="00E8781F"/>
      <rgbColor rgb="00E04B2A"/>
      <rgbColor rgb="00D91F35"/>
      <rgbColor rgb="00C0C0C0"/>
      <rgbColor rgb="00000000"/>
      <rgbColor rgb="00808080"/>
      <rgbColor rgb="00FFFFFF"/>
      <rgbColor rgb="002D3A41"/>
      <rgbColor rgb="00D91F35"/>
      <rgbColor rgb="00FF9F00"/>
      <rgbColor rgb="00FF9B14"/>
      <rgbColor rgb="00FF9B14"/>
      <rgbColor rgb="00D91F35"/>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0" Type="http://schemas.openxmlformats.org/officeDocument/2006/relationships/sharedStrings" Target="sharedStrings.xml"/><Relationship Id="rId3" Type="http://schemas.openxmlformats.org/officeDocument/2006/relationships/worksheet" Target="worksheets/sheet3.xml"/><Relationship Id="rId29" Type="http://schemas.openxmlformats.org/officeDocument/2006/relationships/styles" Target="styles.xml"/><Relationship Id="rId28" Type="http://schemas.openxmlformats.org/officeDocument/2006/relationships/theme" Target="theme/theme1.xml"/><Relationship Id="rId27" Type="http://schemas.openxmlformats.org/officeDocument/2006/relationships/externalLink" Target="externalLinks/externalLink1.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3931939195937"/>
          <c:y val="0.232566096920812"/>
          <c:w val="0.371345809307304"/>
          <c:h val="0.592115421547908"/>
        </c:manualLayout>
      </c:layout>
      <c:radarChart>
        <c:radarStyle val="marker"/>
        <c:varyColors val="0"/>
        <c:ser>
          <c:idx val="5"/>
          <c:order val="0"/>
          <c:tx>
            <c:strRef>
              <c:f>iCityP!$D$5</c:f>
              <c:strCache>
                <c:ptCount val="1"/>
                <c:pt idx="0">
                  <c:v>Abu Dhabi</c:v>
                </c:pt>
              </c:strCache>
            </c:strRef>
          </c:tx>
          <c:spPr>
            <a:ln w="28575" cap="rnd" cmpd="sng" algn="ctr">
              <a:solidFill>
                <a:srgbClr val="0070C0"/>
              </a:solidFill>
              <a:prstDash val="solid"/>
              <a:round/>
            </a:ln>
          </c:spPr>
          <c:marker>
            <c:symbol val="none"/>
          </c:marker>
          <c:dLbls>
            <c:delete val="1"/>
          </c:dLbls>
          <c:cat>
            <c:strRef>
              <c:f>iCityP!$B$7:$B$11</c:f>
              <c:strCache>
                <c:ptCount val="5"/>
                <c:pt idx="0">
                  <c:v>TOTAL SCORE</c:v>
                </c:pt>
                <c:pt idx="1">
                  <c:v>1) DIGITAL SECURITY</c:v>
                </c:pt>
                <c:pt idx="2">
                  <c:v>2) HEALTH SECURITY</c:v>
                </c:pt>
                <c:pt idx="3">
                  <c:v>3) INFRASTRUCTURE SAFETY</c:v>
                </c:pt>
                <c:pt idx="4">
                  <c:v>4) PERSONAL SAFETY</c:v>
                </c:pt>
              </c:strCache>
            </c:strRef>
          </c:cat>
          <c:val>
            <c:numRef>
              <c:f>iCityP!$D$7:$D$11</c:f>
              <c:numCache>
                <c:formatCode>0.0</c:formatCode>
                <c:ptCount val="5"/>
                <c:pt idx="0">
                  <c:v>69.83</c:v>
                </c:pt>
                <c:pt idx="1">
                  <c:v>73.71</c:v>
                </c:pt>
                <c:pt idx="2">
                  <c:v>52.06</c:v>
                </c:pt>
                <c:pt idx="3">
                  <c:v>86.16</c:v>
                </c:pt>
                <c:pt idx="4">
                  <c:v>67.39</c:v>
                </c:pt>
              </c:numCache>
            </c:numRef>
          </c:val>
        </c:ser>
        <c:ser>
          <c:idx val="0"/>
          <c:order val="1"/>
          <c:tx>
            <c:strRef>
              <c:f>iCityP!$E$5</c:f>
              <c:strCache>
                <c:ptCount val="1"/>
                <c:pt idx="0">
                  <c:v>50 city average</c:v>
                </c:pt>
              </c:strCache>
            </c:strRef>
          </c:tx>
          <c:spPr>
            <a:ln w="28575" cap="rnd" cmpd="sng" algn="ctr">
              <a:solidFill>
                <a:schemeClr val="bg1">
                  <a:lumMod val="50000"/>
                </a:schemeClr>
              </a:solidFill>
              <a:prstDash val="dash"/>
              <a:round/>
            </a:ln>
          </c:spPr>
          <c:marker>
            <c:symbol val="none"/>
          </c:marker>
          <c:dLbls>
            <c:delete val="1"/>
          </c:dLbls>
          <c:cat>
            <c:strRef>
              <c:f>iCityP!$B$7:$B$11</c:f>
              <c:strCache>
                <c:ptCount val="5"/>
                <c:pt idx="0">
                  <c:v>TOTAL SCORE</c:v>
                </c:pt>
                <c:pt idx="1">
                  <c:v>1) DIGITAL SECURITY</c:v>
                </c:pt>
                <c:pt idx="2">
                  <c:v>2) HEALTH SECURITY</c:v>
                </c:pt>
                <c:pt idx="3">
                  <c:v>3) INFRASTRUCTURE SAFETY</c:v>
                </c:pt>
                <c:pt idx="4">
                  <c:v>4) PERSONAL SAFETY</c:v>
                </c:pt>
              </c:strCache>
            </c:strRef>
          </c:cat>
          <c:val>
            <c:numRef>
              <c:f>iCityP!$E$7:$E$11</c:f>
              <c:numCache>
                <c:formatCode>0.0</c:formatCode>
                <c:ptCount val="5"/>
                <c:pt idx="0">
                  <c:v>69.3534</c:v>
                </c:pt>
                <c:pt idx="1">
                  <c:v>63.4182</c:v>
                </c:pt>
                <c:pt idx="2">
                  <c:v>65.7446</c:v>
                </c:pt>
                <c:pt idx="3">
                  <c:v>77.5892</c:v>
                </c:pt>
                <c:pt idx="4">
                  <c:v>70.6604</c:v>
                </c:pt>
              </c:numCache>
            </c:numRef>
          </c:val>
        </c:ser>
        <c:dLbls>
          <c:showLegendKey val="0"/>
          <c:showVal val="0"/>
          <c:showCatName val="0"/>
          <c:showSerName val="0"/>
          <c:showPercent val="0"/>
          <c:showBubbleSize val="0"/>
        </c:dLbls>
        <c:axId val="87416832"/>
        <c:axId val="87418368"/>
      </c:radarChart>
      <c:catAx>
        <c:axId val="87416832"/>
        <c:scaling>
          <c:orientation val="minMax"/>
        </c:scaling>
        <c:delete val="0"/>
        <c:axPos val="b"/>
        <c:majorGridlines/>
        <c:numFmt formatCode="General" sourceLinked="0"/>
        <c:majorTickMark val="out"/>
        <c:minorTickMark val="none"/>
        <c:tickLblPos val="nextTo"/>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87418368"/>
        <c:crosses val="autoZero"/>
        <c:auto val="1"/>
        <c:lblAlgn val="ctr"/>
        <c:lblOffset val="100"/>
        <c:noMultiLvlLbl val="0"/>
      </c:catAx>
      <c:valAx>
        <c:axId val="87418368"/>
        <c:scaling>
          <c:orientation val="minMax"/>
          <c:max val="100"/>
          <c:min val="0"/>
        </c:scaling>
        <c:delete val="0"/>
        <c:axPos val="l"/>
        <c:majorGridlines>
          <c:spPr>
            <a:ln w="9525" cap="flat" cmpd="sng" algn="ctr">
              <a:solidFill>
                <a:schemeClr val="bg1">
                  <a:lumMod val="85000"/>
                </a:schemeClr>
              </a:solidFill>
              <a:prstDash val="solid"/>
              <a:round/>
            </a:ln>
          </c:spPr>
        </c:majorGridlines>
        <c:numFmt formatCode="0" sourceLinked="0"/>
        <c:majorTickMark val="cross"/>
        <c:minorTickMark val="none"/>
        <c:tickLblPos val="nextTo"/>
        <c:spPr>
          <a:ln w="9525" cap="flat" cmpd="sng" algn="ctr">
            <a:solidFill>
              <a:schemeClr val="bg1">
                <a:lumMod val="85000"/>
              </a:schemeClr>
            </a:solidFill>
            <a:prstDash val="solid"/>
            <a:round/>
          </a:ln>
        </c:spPr>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87416832"/>
        <c:crosses val="autoZero"/>
        <c:crossBetween val="between"/>
        <c:majorUnit val="25"/>
      </c:valAx>
    </c:plotArea>
    <c:legend>
      <c:legendPos val="t"/>
      <c:layout/>
      <c:overlay val="0"/>
      <c:txPr>
        <a:bodyPr rot="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legend>
    <c:plotVisOnly val="1"/>
    <c:dispBlanksAs val="gap"/>
    <c:showDLblsOverMax val="0"/>
  </c:chart>
  <c:spPr>
    <a:ln w="9525" cap="flat" cmpd="sng" algn="ctr">
      <a:solidFill>
        <a:schemeClr val="bg1">
          <a:lumMod val="85000"/>
        </a:schemeClr>
      </a:solidFill>
      <a:prstDash val="solid"/>
      <a:round/>
    </a:ln>
  </c:spPr>
  <c:txPr>
    <a:bodyPr/>
    <a:lstStyle/>
    <a:p>
      <a:pPr>
        <a:defRPr lang="en-US"/>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884171343268"/>
          <c:y val="0.236909580933256"/>
          <c:w val="0.587731537345026"/>
          <c:h val="0.589892840576136"/>
        </c:manualLayout>
      </c:layout>
      <c:radarChart>
        <c:radarStyle val="marker"/>
        <c:varyColors val="0"/>
        <c:ser>
          <c:idx val="0"/>
          <c:order val="0"/>
          <c:tx>
            <c:strRef>
              <c:f>iCityComp!$V$9</c:f>
              <c:strCache>
                <c:ptCount val="1"/>
                <c:pt idx="0">
                  <c:v>Abu Dhabi</c:v>
                </c:pt>
              </c:strCache>
            </c:strRef>
          </c:tx>
          <c:spPr>
            <a:ln w="25400" cap="rnd" cmpd="sng" algn="ctr">
              <a:solidFill>
                <a:srgbClr val="31659C"/>
              </a:solidFill>
              <a:prstDash val="solid"/>
              <a:round/>
            </a:ln>
          </c:spPr>
          <c:marker>
            <c:symbol val="none"/>
          </c:marker>
          <c:dLbls>
            <c:delete val="1"/>
          </c:dLbls>
          <c:cat>
            <c:strRef>
              <c:f>iCityComp!$U$10:$U$14</c:f>
              <c:strCache>
                <c:ptCount val="5"/>
                <c:pt idx="0">
                  <c:v>TOTAL SCORE</c:v>
                </c:pt>
                <c:pt idx="1">
                  <c:v>1) DIGITAL SECURITY</c:v>
                </c:pt>
                <c:pt idx="2">
                  <c:v>2) HEALTH SECURITY</c:v>
                </c:pt>
                <c:pt idx="3">
                  <c:v>3) INFRASTRUCTURE SAFETY</c:v>
                </c:pt>
                <c:pt idx="4">
                  <c:v>4) PERSONAL SAFETY</c:v>
                </c:pt>
              </c:strCache>
            </c:strRef>
          </c:cat>
          <c:val>
            <c:numRef>
              <c:f>iCityComp!$V$10:$V$14</c:f>
              <c:numCache>
                <c:formatCode>General</c:formatCode>
                <c:ptCount val="5"/>
                <c:pt idx="0">
                  <c:v>69.83</c:v>
                </c:pt>
                <c:pt idx="1">
                  <c:v>73.71</c:v>
                </c:pt>
                <c:pt idx="2">
                  <c:v>52.06</c:v>
                </c:pt>
                <c:pt idx="3">
                  <c:v>86.16</c:v>
                </c:pt>
                <c:pt idx="4">
                  <c:v>67.39</c:v>
                </c:pt>
              </c:numCache>
            </c:numRef>
          </c:val>
        </c:ser>
        <c:ser>
          <c:idx val="1"/>
          <c:order val="1"/>
          <c:tx>
            <c:strRef>
              <c:f>iCityComp!$W$9</c:f>
              <c:strCache>
                <c:ptCount val="1"/>
                <c:pt idx="0">
                  <c:v>Paris</c:v>
                </c:pt>
              </c:strCache>
            </c:strRef>
          </c:tx>
          <c:spPr>
            <a:ln w="25400" cap="rnd" cmpd="sng" algn="ctr">
              <a:solidFill>
                <a:srgbClr val="FF8080"/>
              </a:solidFill>
              <a:prstDash val="solid"/>
              <a:round/>
            </a:ln>
          </c:spPr>
          <c:marker>
            <c:symbol val="none"/>
          </c:marker>
          <c:dLbls>
            <c:delete val="1"/>
          </c:dLbls>
          <c:cat>
            <c:strRef>
              <c:f>iCityComp!$U$10:$U$14</c:f>
              <c:strCache>
                <c:ptCount val="5"/>
                <c:pt idx="0">
                  <c:v>TOTAL SCORE</c:v>
                </c:pt>
                <c:pt idx="1">
                  <c:v>1) DIGITAL SECURITY</c:v>
                </c:pt>
                <c:pt idx="2">
                  <c:v>2) HEALTH SECURITY</c:v>
                </c:pt>
                <c:pt idx="3">
                  <c:v>3) INFRASTRUCTURE SAFETY</c:v>
                </c:pt>
                <c:pt idx="4">
                  <c:v>4) PERSONAL SAFETY</c:v>
                </c:pt>
              </c:strCache>
            </c:strRef>
          </c:cat>
          <c:val>
            <c:numRef>
              <c:f>iCityComp!$W$10:$W$14</c:f>
              <c:numCache>
                <c:formatCode>General</c:formatCode>
                <c:ptCount val="5"/>
                <c:pt idx="0">
                  <c:v>71.21</c:v>
                </c:pt>
                <c:pt idx="1">
                  <c:v>58.4</c:v>
                </c:pt>
                <c:pt idx="2">
                  <c:v>76.95</c:v>
                </c:pt>
                <c:pt idx="3">
                  <c:v>78.22</c:v>
                </c:pt>
                <c:pt idx="4">
                  <c:v>71.29</c:v>
                </c:pt>
              </c:numCache>
            </c:numRef>
          </c:val>
        </c:ser>
        <c:dLbls>
          <c:showLegendKey val="0"/>
          <c:showVal val="0"/>
          <c:showCatName val="0"/>
          <c:showSerName val="0"/>
          <c:showPercent val="0"/>
          <c:showBubbleSize val="0"/>
        </c:dLbls>
        <c:axId val="94730880"/>
        <c:axId val="94736768"/>
      </c:radarChart>
      <c:catAx>
        <c:axId val="94730880"/>
        <c:scaling>
          <c:orientation val="minMax"/>
        </c:scaling>
        <c:delete val="0"/>
        <c:axPos val="b"/>
        <c:majorGridlines>
          <c:spPr>
            <a:ln w="3175" cap="flat" cmpd="sng" algn="ctr">
              <a:solidFill>
                <a:srgbClr val="C0C0C0"/>
              </a:solidFill>
              <a:prstDash val="solid"/>
              <a:round/>
            </a:ln>
          </c:spPr>
        </c:majorGridlines>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94736768"/>
        <c:crosses val="autoZero"/>
        <c:auto val="0"/>
        <c:lblAlgn val="ctr"/>
        <c:lblOffset val="100"/>
        <c:noMultiLvlLbl val="0"/>
      </c:catAx>
      <c:valAx>
        <c:axId val="94736768"/>
        <c:scaling>
          <c:orientation val="minMax"/>
          <c:max val="100"/>
          <c:min val="0"/>
        </c:scaling>
        <c:delete val="0"/>
        <c:axPos val="l"/>
        <c:majorGridlines>
          <c:spPr>
            <a:ln w="3175" cap="flat" cmpd="sng" algn="ctr">
              <a:solidFill>
                <a:srgbClr val="DDDDDD"/>
              </a:solidFill>
              <a:prstDash val="solid"/>
              <a:round/>
            </a:ln>
          </c:spPr>
        </c:majorGridlines>
        <c:numFmt formatCode="General" sourceLinked="1"/>
        <c:majorTickMark val="cross"/>
        <c:minorTickMark val="none"/>
        <c:tickLblPos val="nextTo"/>
        <c:spPr>
          <a:ln w="3175" cap="flat" cmpd="sng" algn="ctr">
            <a:solidFill>
              <a:srgbClr val="C0C0C0"/>
            </a:solidFill>
            <a:prstDash val="solid"/>
            <a:round/>
          </a:ln>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crossAx val="94730880"/>
        <c:crosses val="autoZero"/>
        <c:crossBetween val="between"/>
        <c:majorUnit val="25"/>
      </c:valAx>
      <c:spPr>
        <a:solidFill>
          <a:srgbClr val="FFFFFF"/>
        </a:solidFill>
        <a:ln w="25400">
          <a:noFill/>
        </a:ln>
      </c:spPr>
    </c:plotArea>
    <c:legend>
      <c:legendPos val="r"/>
      <c:legendEntry>
        <c:idx val="0"/>
        <c:txPr>
          <a:bodyPr rot="0" spcFirstLastPara="0" vertOverflow="ellipsis" vert="horz" wrap="square" anchor="ctr" anchorCtr="1"/>
          <a:lstStyle/>
          <a:p>
            <a:pPr>
              <a:defRPr lang="en-US" sz="1000" b="0" i="0" u="none" strike="noStrike" kern="1200" baseline="0">
                <a:solidFill>
                  <a:schemeClr val="dk1"/>
                </a:solidFill>
                <a:latin typeface="+mn-lt"/>
                <a:ea typeface="+mn-ea"/>
                <a:cs typeface="+mn-cs"/>
              </a:defRPr>
            </a:pPr>
          </a:p>
        </c:txPr>
      </c:legendEntry>
      <c:legendEntry>
        <c:idx val="1"/>
        <c:txPr>
          <a:bodyPr rot="0" spcFirstLastPara="0" vertOverflow="ellipsis" vert="horz" wrap="square" anchor="ctr" anchorCtr="1"/>
          <a:lstStyle/>
          <a:p>
            <a:pPr>
              <a:defRPr lang="en-US" sz="1000" b="0" i="0" u="none" strike="noStrike" kern="1200" baseline="0">
                <a:solidFill>
                  <a:schemeClr val="dk1"/>
                </a:solidFill>
                <a:latin typeface="+mn-lt"/>
                <a:ea typeface="+mn-ea"/>
                <a:cs typeface="+mn-cs"/>
              </a:defRPr>
            </a:pPr>
          </a:p>
        </c:txPr>
      </c:legendEntry>
      <c:layout>
        <c:manualLayout>
          <c:xMode val="edge"/>
          <c:yMode val="edge"/>
          <c:x val="0.30238132733409"/>
          <c:y val="0.021505376344086"/>
          <c:w val="0.391667166604178"/>
          <c:h val="0.0785342829977056"/>
        </c:manualLayout>
      </c:layout>
      <c:overlay val="0"/>
      <c:spPr>
        <a:solidFill>
          <a:schemeClr val="lt1"/>
        </a:solidFill>
        <a:ln w="25400" cap="flat" cmpd="sng" algn="ctr">
          <a:solidFill>
            <a:schemeClr val="accent4"/>
          </a:solidFill>
          <a:prstDash val="solid"/>
        </a:ln>
        <a:effectLst/>
      </c:spPr>
      <c:txPr>
        <a:bodyPr rot="0" spcFirstLastPara="0" vertOverflow="ellipsis" vert="horz" wrap="square" anchor="ctr" anchorCtr="1"/>
        <a:lstStyle/>
        <a:p>
          <a:pPr>
            <a:defRPr lang="en-US" sz="1000" b="0" i="0" u="none" strike="noStrike" kern="1200" baseline="0">
              <a:solidFill>
                <a:schemeClr val="dk1"/>
              </a:solidFill>
              <a:latin typeface="+mn-lt"/>
              <a:ea typeface="+mn-ea"/>
              <a:cs typeface="+mn-cs"/>
            </a:defRPr>
          </a:pPr>
        </a:p>
      </c:txPr>
    </c:legend>
    <c:plotVisOnly val="1"/>
    <c:dispBlanksAs val="gap"/>
    <c:showDLblsOverMax val="0"/>
  </c:chart>
  <c:spPr>
    <a:solidFill>
      <a:srgbClr val="FFFFFF"/>
    </a:solidFill>
    <a:ln w="3175" cap="flat" cmpd="sng" algn="ctr">
      <a:solidFill>
        <a:srgbClr val="DDDDDD"/>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31756015214658"/>
          <c:y val="0.0258780036968577"/>
          <c:w val="0.862419691953164"/>
          <c:h val="0.8909426987061"/>
        </c:manualLayout>
      </c:layout>
      <c:scatterChart>
        <c:scatterStyle val="marker"/>
        <c:varyColors val="0"/>
        <c:ser>
          <c:idx val="0"/>
          <c:order val="0"/>
          <c:tx>
            <c:strRef>
              <c:f>"base"</c:f>
              <c:strCache>
                <c:ptCount val="1"/>
                <c:pt idx="0">
                  <c:v>base</c:v>
                </c:pt>
              </c:strCache>
            </c:strRef>
          </c:tx>
          <c:spPr>
            <a:ln w="28575" cap="rnd" cmpd="sng" algn="ctr">
              <a:noFill/>
              <a:prstDash val="solid"/>
              <a:round/>
            </a:ln>
          </c:spPr>
          <c:marker>
            <c:symbol val="diamond"/>
            <c:size val="7"/>
            <c:spPr>
              <a:solidFill>
                <a:schemeClr val="bg1">
                  <a:lumMod val="50000"/>
                </a:schemeClr>
              </a:solidFill>
              <a:ln w="9525" cap="flat" cmpd="sng" algn="ctr">
                <a:noFill/>
                <a:prstDash val="solid"/>
                <a:round/>
              </a:ln>
            </c:spPr>
          </c:marker>
          <c:dLbls>
            <c:delete val="1"/>
          </c:dLbls>
          <c:trendline>
            <c:trendlineType val="linear"/>
            <c:dispRSqr val="0"/>
            <c:dispEq val="0"/>
          </c:trendline>
          <c:xVal>
            <c:numRef>
              <c:f>iScatter!$W$21:$W$70</c:f>
              <c:numCache>
                <c:formatCode>General</c:formatCode>
                <c:ptCount val="50"/>
                <c:pt idx="0">
                  <c:v>91.32</c:v>
                </c:pt>
                <c:pt idx="1">
                  <c:v>65.34</c:v>
                </c:pt>
                <c:pt idx="2">
                  <c:v>67.06</c:v>
                </c:pt>
                <c:pt idx="3">
                  <c:v>75.32</c:v>
                </c:pt>
                <c:pt idx="4">
                  <c:v>76.3</c:v>
                </c:pt>
                <c:pt idx="5">
                  <c:v>82.44</c:v>
                </c:pt>
                <c:pt idx="6">
                  <c:v>82.32</c:v>
                </c:pt>
                <c:pt idx="7">
                  <c:v>85.13</c:v>
                </c:pt>
                <c:pt idx="8">
                  <c:v>88.94</c:v>
                </c:pt>
                <c:pt idx="9">
                  <c:v>81.38</c:v>
                </c:pt>
                <c:pt idx="10">
                  <c:v>40.86</c:v>
                </c:pt>
                <c:pt idx="11">
                  <c:v>67.87</c:v>
                </c:pt>
                <c:pt idx="12">
                  <c:v>86.66</c:v>
                </c:pt>
                <c:pt idx="13">
                  <c:v>79.86</c:v>
                </c:pt>
                <c:pt idx="14">
                  <c:v>64.01</c:v>
                </c:pt>
                <c:pt idx="15">
                  <c:v>87.3</c:v>
                </c:pt>
                <c:pt idx="16">
                  <c:v>89.06</c:v>
                </c:pt>
                <c:pt idx="17">
                  <c:v>62.92</c:v>
                </c:pt>
                <c:pt idx="18">
                  <c:v>79.57</c:v>
                </c:pt>
                <c:pt idx="19">
                  <c:v>79.76</c:v>
                </c:pt>
                <c:pt idx="20">
                  <c:v>79.49</c:v>
                </c:pt>
                <c:pt idx="21">
                  <c:v>79.63</c:v>
                </c:pt>
                <c:pt idx="22">
                  <c:v>79.56</c:v>
                </c:pt>
                <c:pt idx="23">
                  <c:v>79.28</c:v>
                </c:pt>
                <c:pt idx="24">
                  <c:v>77.92</c:v>
                </c:pt>
                <c:pt idx="25">
                  <c:v>58.04</c:v>
                </c:pt>
                <c:pt idx="26">
                  <c:v>84.46</c:v>
                </c:pt>
                <c:pt idx="27">
                  <c:v>84.08</c:v>
                </c:pt>
                <c:pt idx="28">
                  <c:v>75.92</c:v>
                </c:pt>
                <c:pt idx="29">
                  <c:v>81.21</c:v>
                </c:pt>
                <c:pt idx="30">
                  <c:v>86.79</c:v>
                </c:pt>
                <c:pt idx="31">
                  <c:v>93.49</c:v>
                </c:pt>
                <c:pt idx="32">
                  <c:v>77.89</c:v>
                </c:pt>
                <c:pt idx="33">
                  <c:v>74.81</c:v>
                </c:pt>
                <c:pt idx="34">
                  <c:v>85.8</c:v>
                </c:pt>
                <c:pt idx="35">
                  <c:v>83.67</c:v>
                </c:pt>
                <c:pt idx="36">
                  <c:v>69.55</c:v>
                </c:pt>
                <c:pt idx="37">
                  <c:v>85.81</c:v>
                </c:pt>
                <c:pt idx="38">
                  <c:v>81.69</c:v>
                </c:pt>
                <c:pt idx="39">
                  <c:v>78.94</c:v>
                </c:pt>
                <c:pt idx="40">
                  <c:v>70.09</c:v>
                </c:pt>
                <c:pt idx="41">
                  <c:v>74.05</c:v>
                </c:pt>
                <c:pt idx="42">
                  <c:v>69.31</c:v>
                </c:pt>
                <c:pt idx="43">
                  <c:v>88.54</c:v>
                </c:pt>
                <c:pt idx="44">
                  <c:v>64.31</c:v>
                </c:pt>
                <c:pt idx="45">
                  <c:v>80.07</c:v>
                </c:pt>
                <c:pt idx="46">
                  <c:v>76.79</c:v>
                </c:pt>
                <c:pt idx="47">
                  <c:v>91.26</c:v>
                </c:pt>
                <c:pt idx="48">
                  <c:v>79.42</c:v>
                </c:pt>
                <c:pt idx="49">
                  <c:v>81.81</c:v>
                </c:pt>
              </c:numCache>
            </c:numRef>
          </c:xVal>
          <c:yVal>
            <c:numRef>
              <c:f>iScatter!$X$21:$X$70</c:f>
              <c:numCache>
                <c:formatCode>General</c:formatCode>
                <c:ptCount val="50"/>
                <c:pt idx="0">
                  <c:v>2</c:v>
                </c:pt>
                <c:pt idx="1">
                  <c:v>3</c:v>
                </c:pt>
                <c:pt idx="2">
                  <c:v>1</c:v>
                </c:pt>
                <c:pt idx="3">
                  <c:v>2</c:v>
                </c:pt>
                <c:pt idx="4">
                  <c:v>1</c:v>
                </c:pt>
                <c:pt idx="5">
                  <c:v>1</c:v>
                </c:pt>
                <c:pt idx="6">
                  <c:v>1</c:v>
                </c:pt>
                <c:pt idx="7">
                  <c:v>1</c:v>
                </c:pt>
                <c:pt idx="8">
                  <c:v>1</c:v>
                </c:pt>
                <c:pt idx="9">
                  <c:v>1</c:v>
                </c:pt>
                <c:pt idx="10">
                  <c:v>3</c:v>
                </c:pt>
                <c:pt idx="11">
                  <c:v>1</c:v>
                </c:pt>
                <c:pt idx="12">
                  <c:v>1</c:v>
                </c:pt>
                <c:pt idx="13">
                  <c:v>1</c:v>
                </c:pt>
                <c:pt idx="14">
                  <c:v>1</c:v>
                </c:pt>
                <c:pt idx="15">
                  <c:v>1</c:v>
                </c:pt>
                <c:pt idx="16">
                  <c:v>1</c:v>
                </c:pt>
                <c:pt idx="17">
                  <c:v>1</c:v>
                </c:pt>
                <c:pt idx="18">
                  <c:v>1</c:v>
                </c:pt>
                <c:pt idx="19">
                  <c:v>1</c:v>
                </c:pt>
                <c:pt idx="20">
                  <c:v>1</c:v>
                </c:pt>
                <c:pt idx="21">
                  <c:v>2</c:v>
                </c:pt>
                <c:pt idx="22">
                  <c:v>1</c:v>
                </c:pt>
                <c:pt idx="23">
                  <c:v>2</c:v>
                </c:pt>
                <c:pt idx="24">
                  <c:v>3</c:v>
                </c:pt>
                <c:pt idx="25">
                  <c:v>3</c:v>
                </c:pt>
                <c:pt idx="26">
                  <c:v>4</c:v>
                </c:pt>
                <c:pt idx="27">
                  <c:v>1</c:v>
                </c:pt>
                <c:pt idx="28">
                  <c:v>1</c:v>
                </c:pt>
                <c:pt idx="29">
                  <c:v>1</c:v>
                </c:pt>
                <c:pt idx="30">
                  <c:v>1</c:v>
                </c:pt>
                <c:pt idx="31">
                  <c:v>2</c:v>
                </c:pt>
                <c:pt idx="32">
                  <c:v>1</c:v>
                </c:pt>
                <c:pt idx="33">
                  <c:v>3</c:v>
                </c:pt>
                <c:pt idx="34">
                  <c:v>1</c:v>
                </c:pt>
                <c:pt idx="35">
                  <c:v>2</c:v>
                </c:pt>
                <c:pt idx="36">
                  <c:v>2</c:v>
                </c:pt>
                <c:pt idx="37">
                  <c:v>2</c:v>
                </c:pt>
                <c:pt idx="38">
                  <c:v>1</c:v>
                </c:pt>
                <c:pt idx="39">
                  <c:v>1</c:v>
                </c:pt>
                <c:pt idx="40">
                  <c:v>1</c:v>
                </c:pt>
                <c:pt idx="41">
                  <c:v>1</c:v>
                </c:pt>
                <c:pt idx="42">
                  <c:v>1</c:v>
                </c:pt>
                <c:pt idx="43">
                  <c:v>1</c:v>
                </c:pt>
                <c:pt idx="44">
                  <c:v>1</c:v>
                </c:pt>
                <c:pt idx="45">
                  <c:v>1</c:v>
                </c:pt>
                <c:pt idx="46">
                  <c:v>1</c:v>
                </c:pt>
                <c:pt idx="47">
                  <c:v>1</c:v>
                </c:pt>
                <c:pt idx="48">
                  <c:v>2</c:v>
                </c:pt>
                <c:pt idx="49">
                  <c:v>1</c:v>
                </c:pt>
              </c:numCache>
            </c:numRef>
          </c:yVal>
          <c:smooth val="0"/>
        </c:ser>
        <c:ser>
          <c:idx val="1"/>
          <c:order val="1"/>
          <c:tx>
            <c:strRef>
              <c:f>"Highlighted"</c:f>
              <c:strCache>
                <c:ptCount val="1"/>
                <c:pt idx="0">
                  <c:v>Highlighted</c:v>
                </c:pt>
              </c:strCache>
            </c:strRef>
          </c:tx>
          <c:spPr>
            <a:ln w="28575" cap="rnd" cmpd="sng" algn="ctr">
              <a:noFill/>
              <a:prstDash val="solid"/>
              <a:round/>
            </a:ln>
          </c:spPr>
          <c:marker>
            <c:symbol val="diamond"/>
            <c:size val="8"/>
            <c:spPr>
              <a:solidFill>
                <a:srgbClr val="FF9900"/>
              </a:solidFill>
              <a:ln w="9525" cap="flat" cmpd="sng" algn="ctr">
                <a:solidFill>
                  <a:srgbClr val="FF9900"/>
                </a:solidFill>
                <a:prstDash val="solid"/>
                <a:round/>
              </a:ln>
            </c:spPr>
          </c:marker>
          <c:dLbls>
            <c:delete val="1"/>
          </c:dLbls>
          <c:xVal>
            <c:numRef>
              <c:f>iScatter!$Z$21:$Z$70</c:f>
              <c:numCache>
                <c:formatCode>General</c:formatCode>
                <c:ptCount val="50"/>
                <c:pt idx="0">
                  <c:v>91.32</c:v>
                </c:pt>
                <c:pt idx="1">
                  <c:v>65.34</c:v>
                </c:pt>
                <c:pt idx="2">
                  <c:v>67.06</c:v>
                </c:pt>
                <c:pt idx="3">
                  <c:v>75.32</c:v>
                </c:pt>
                <c:pt idx="4">
                  <c:v>76.3</c:v>
                </c:pt>
                <c:pt idx="5">
                  <c:v>82.44</c:v>
                </c:pt>
                <c:pt idx="6">
                  <c:v>82.32</c:v>
                </c:pt>
                <c:pt idx="7">
                  <c:v>85.13</c:v>
                </c:pt>
                <c:pt idx="8">
                  <c:v>88.94</c:v>
                </c:pt>
                <c:pt idx="9">
                  <c:v>81.38</c:v>
                </c:pt>
                <c:pt idx="10">
                  <c:v>40.86</c:v>
                </c:pt>
                <c:pt idx="11">
                  <c:v>67.87</c:v>
                </c:pt>
                <c:pt idx="12">
                  <c:v>86.66</c:v>
                </c:pt>
                <c:pt idx="13">
                  <c:v>79.86</c:v>
                </c:pt>
                <c:pt idx="14">
                  <c:v>64.01</c:v>
                </c:pt>
                <c:pt idx="15">
                  <c:v>87.3</c:v>
                </c:pt>
                <c:pt idx="16">
                  <c:v>89.06</c:v>
                </c:pt>
                <c:pt idx="17">
                  <c:v>62.92</c:v>
                </c:pt>
                <c:pt idx="18">
                  <c:v>79.57</c:v>
                </c:pt>
                <c:pt idx="19">
                  <c:v>79.76</c:v>
                </c:pt>
                <c:pt idx="20">
                  <c:v>79.49</c:v>
                </c:pt>
                <c:pt idx="21">
                  <c:v>79.63</c:v>
                </c:pt>
                <c:pt idx="22">
                  <c:v>79.56</c:v>
                </c:pt>
                <c:pt idx="23">
                  <c:v>79.28</c:v>
                </c:pt>
                <c:pt idx="24">
                  <c:v>77.92</c:v>
                </c:pt>
                <c:pt idx="25">
                  <c:v>58.04</c:v>
                </c:pt>
                <c:pt idx="26">
                  <c:v>84.46</c:v>
                </c:pt>
                <c:pt idx="27">
                  <c:v>84.08</c:v>
                </c:pt>
                <c:pt idx="28">
                  <c:v>75.92</c:v>
                </c:pt>
                <c:pt idx="29">
                  <c:v>81.21</c:v>
                </c:pt>
                <c:pt idx="30">
                  <c:v>86.79</c:v>
                </c:pt>
                <c:pt idx="31">
                  <c:v>93.49</c:v>
                </c:pt>
                <c:pt idx="32">
                  <c:v>77.89</c:v>
                </c:pt>
                <c:pt idx="33">
                  <c:v>74.81</c:v>
                </c:pt>
                <c:pt idx="34">
                  <c:v>85.8</c:v>
                </c:pt>
                <c:pt idx="35">
                  <c:v>#N/A</c:v>
                </c:pt>
                <c:pt idx="36">
                  <c:v>69.55</c:v>
                </c:pt>
                <c:pt idx="37">
                  <c:v>#N/A</c:v>
                </c:pt>
                <c:pt idx="38">
                  <c:v>81.69</c:v>
                </c:pt>
                <c:pt idx="39">
                  <c:v>78.94</c:v>
                </c:pt>
                <c:pt idx="40">
                  <c:v>70.09</c:v>
                </c:pt>
                <c:pt idx="41">
                  <c:v>74.05</c:v>
                </c:pt>
                <c:pt idx="42">
                  <c:v>69.31</c:v>
                </c:pt>
                <c:pt idx="43">
                  <c:v>88.54</c:v>
                </c:pt>
                <c:pt idx="44">
                  <c:v>64.31</c:v>
                </c:pt>
                <c:pt idx="45">
                  <c:v>80.07</c:v>
                </c:pt>
                <c:pt idx="46">
                  <c:v>76.79</c:v>
                </c:pt>
                <c:pt idx="47">
                  <c:v>91.26</c:v>
                </c:pt>
                <c:pt idx="48">
                  <c:v>79.42</c:v>
                </c:pt>
                <c:pt idx="49">
                  <c:v>81.81</c:v>
                </c:pt>
              </c:numCache>
            </c:numRef>
          </c:xVal>
          <c:yVal>
            <c:numRef>
              <c:f>iScatter!$AA$21:$AA$70</c:f>
              <c:numCache>
                <c:formatCode>General</c:formatCode>
                <c:ptCount val="50"/>
                <c:pt idx="0">
                  <c:v>2</c:v>
                </c:pt>
                <c:pt idx="1">
                  <c:v>3</c:v>
                </c:pt>
                <c:pt idx="2">
                  <c:v>1</c:v>
                </c:pt>
                <c:pt idx="3">
                  <c:v>2</c:v>
                </c:pt>
                <c:pt idx="4">
                  <c:v>1</c:v>
                </c:pt>
                <c:pt idx="5">
                  <c:v>1</c:v>
                </c:pt>
                <c:pt idx="6">
                  <c:v>1</c:v>
                </c:pt>
                <c:pt idx="7">
                  <c:v>1</c:v>
                </c:pt>
                <c:pt idx="8">
                  <c:v>1</c:v>
                </c:pt>
                <c:pt idx="9">
                  <c:v>1</c:v>
                </c:pt>
                <c:pt idx="10">
                  <c:v>3</c:v>
                </c:pt>
                <c:pt idx="11">
                  <c:v>1</c:v>
                </c:pt>
                <c:pt idx="12">
                  <c:v>1</c:v>
                </c:pt>
                <c:pt idx="13">
                  <c:v>1</c:v>
                </c:pt>
                <c:pt idx="14">
                  <c:v>1</c:v>
                </c:pt>
                <c:pt idx="15">
                  <c:v>1</c:v>
                </c:pt>
                <c:pt idx="16">
                  <c:v>1</c:v>
                </c:pt>
                <c:pt idx="17">
                  <c:v>1</c:v>
                </c:pt>
                <c:pt idx="18">
                  <c:v>1</c:v>
                </c:pt>
                <c:pt idx="19">
                  <c:v>1</c:v>
                </c:pt>
                <c:pt idx="20">
                  <c:v>1</c:v>
                </c:pt>
                <c:pt idx="21">
                  <c:v>2</c:v>
                </c:pt>
                <c:pt idx="22">
                  <c:v>1</c:v>
                </c:pt>
                <c:pt idx="23">
                  <c:v>2</c:v>
                </c:pt>
                <c:pt idx="24">
                  <c:v>3</c:v>
                </c:pt>
                <c:pt idx="25">
                  <c:v>3</c:v>
                </c:pt>
                <c:pt idx="26">
                  <c:v>4</c:v>
                </c:pt>
                <c:pt idx="27">
                  <c:v>1</c:v>
                </c:pt>
                <c:pt idx="28">
                  <c:v>1</c:v>
                </c:pt>
                <c:pt idx="29">
                  <c:v>1</c:v>
                </c:pt>
                <c:pt idx="30">
                  <c:v>1</c:v>
                </c:pt>
                <c:pt idx="31">
                  <c:v>2</c:v>
                </c:pt>
                <c:pt idx="32">
                  <c:v>1</c:v>
                </c:pt>
                <c:pt idx="33">
                  <c:v>3</c:v>
                </c:pt>
                <c:pt idx="34">
                  <c:v>1</c:v>
                </c:pt>
                <c:pt idx="35">
                  <c:v>#N/A</c:v>
                </c:pt>
                <c:pt idx="36">
                  <c:v>2</c:v>
                </c:pt>
                <c:pt idx="37">
                  <c:v>#N/A</c:v>
                </c:pt>
                <c:pt idx="38">
                  <c:v>1</c:v>
                </c:pt>
                <c:pt idx="39">
                  <c:v>1</c:v>
                </c:pt>
                <c:pt idx="40">
                  <c:v>1</c:v>
                </c:pt>
                <c:pt idx="41">
                  <c:v>1</c:v>
                </c:pt>
                <c:pt idx="42">
                  <c:v>1</c:v>
                </c:pt>
                <c:pt idx="43">
                  <c:v>1</c:v>
                </c:pt>
                <c:pt idx="44">
                  <c:v>1</c:v>
                </c:pt>
                <c:pt idx="45">
                  <c:v>1</c:v>
                </c:pt>
                <c:pt idx="46">
                  <c:v>1</c:v>
                </c:pt>
                <c:pt idx="47">
                  <c:v>1</c:v>
                </c:pt>
                <c:pt idx="48">
                  <c:v>2</c:v>
                </c:pt>
                <c:pt idx="49">
                  <c:v>1</c:v>
                </c:pt>
              </c:numCache>
            </c:numRef>
          </c:yVal>
          <c:smooth val="0"/>
        </c:ser>
        <c:ser>
          <c:idx val="2"/>
          <c:order val="2"/>
          <c:tx>
            <c:strRef>
              <c:f>"Labels"</c:f>
              <c:strCache>
                <c:ptCount val="1"/>
                <c:pt idx="0">
                  <c:v>Labels</c:v>
                </c:pt>
              </c:strCache>
            </c:strRef>
          </c:tx>
          <c:spPr>
            <a:ln w="28575" cap="rnd" cmpd="sng" algn="ctr">
              <a:noFill/>
              <a:prstDash val="solid"/>
              <a:round/>
            </a:ln>
          </c:spPr>
          <c:marker>
            <c:symbol val="none"/>
          </c:marker>
          <c:dLbls>
            <c:dLbl>
              <c:idx val="0"/>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sz="800" b="0" i="0" u="none" strike="noStrike" baseline="0"/>
                      <a:t>Stockholm</a:t>
                    </a:r>
                    <a:endParaRPr lang="en-US"/>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1"/>
              <c:showCatName val="0"/>
              <c:showSerName val="0"/>
              <c:showPercent val="0"/>
              <c:showBubbleSize val="0"/>
              <c:extLst>
                <c:ext xmlns:c15="http://schemas.microsoft.com/office/drawing/2012/chart" uri="{CE6537A1-D6FC-4f65-9D91-7224C49458BB}"/>
              </c:extLst>
            </c:dLbl>
            <c:dLbl>
              <c:idx val="1"/>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US"/>
                      <a:t>Johannesburg</a:t>
                    </a:r>
                    <a:endParaRPr lang="en-US"/>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1"/>
              <c:showCatName val="0"/>
              <c:showSerName val="0"/>
              <c:showPercent val="0"/>
              <c:showBubbleSize val="0"/>
              <c:extLst>
                <c:ext xmlns:c15="http://schemas.microsoft.com/office/drawing/2012/chart" uri="{CE6537A1-D6FC-4f65-9D91-7224C49458BB}"/>
              </c:extLst>
            </c:dLbl>
            <c:dLbl>
              <c:idx val="2"/>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US"/>
                      <a:t>Buenos Aires</a:t>
                    </a:r>
                    <a:endParaRPr lang="en-US"/>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1"/>
              <c:showCatName val="0"/>
              <c:showSerName val="0"/>
              <c:showPercent val="0"/>
              <c:showBubbleSize val="0"/>
              <c:extLst>
                <c:ext xmlns:c15="http://schemas.microsoft.com/office/drawing/2012/chart" uri="{CE6537A1-D6FC-4f65-9D91-7224C49458BB}"/>
              </c:extLst>
            </c:dLbl>
            <c:dLbl>
              <c:idx val="3"/>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US"/>
                      <a:t>Sao Paulo</a:t>
                    </a:r>
                    <a:endParaRPr lang="en-US"/>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1"/>
              <c:showCatName val="0"/>
              <c:showSerName val="0"/>
              <c:showPercent val="0"/>
              <c:showBubbleSize val="0"/>
              <c:extLst>
                <c:ext xmlns:c15="http://schemas.microsoft.com/office/drawing/2012/chart" uri="{CE6537A1-D6FC-4f65-9D91-7224C49458BB}"/>
              </c:extLst>
            </c:dLbl>
            <c:dLbl>
              <c:idx val="4"/>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US"/>
                      <a:t>Rio de Janeiro</a:t>
                    </a:r>
                    <a:endParaRPr lang="en-US"/>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1"/>
              <c:showCatName val="0"/>
              <c:showSerName val="0"/>
              <c:showPercent val="0"/>
              <c:showBubbleSize val="0"/>
              <c:extLst>
                <c:ext xmlns:c15="http://schemas.microsoft.com/office/drawing/2012/chart" uri="{CE6537A1-D6FC-4f65-9D91-7224C49458BB}"/>
              </c:extLst>
            </c:dLbl>
            <c:dLbl>
              <c:idx val="5"/>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US"/>
                      <a:t>Los Angeles</a:t>
                    </a:r>
                    <a:endParaRPr lang="en-US"/>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1"/>
              <c:showCatName val="0"/>
              <c:showSerName val="0"/>
              <c:showPercent val="0"/>
              <c:showBubbleSize val="0"/>
              <c:extLst>
                <c:ext xmlns:c15="http://schemas.microsoft.com/office/drawing/2012/chart" uri="{CE6537A1-D6FC-4f65-9D91-7224C49458BB}"/>
              </c:extLst>
            </c:dLbl>
            <c:dLbl>
              <c:idx val="6"/>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US"/>
                      <a:t>San</a:t>
                    </a:r>
                    <a:r>
                      <a:rPr lang="en-US" baseline="0"/>
                      <a:t> Francisco</a:t>
                    </a:r>
                    <a:endParaRPr lang="en-US"/>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1"/>
              <c:showCatName val="0"/>
              <c:showSerName val="0"/>
              <c:showPercent val="0"/>
              <c:showBubbleSize val="0"/>
              <c:extLst>
                <c:ext xmlns:c15="http://schemas.microsoft.com/office/drawing/2012/chart" uri="{CE6537A1-D6FC-4f65-9D91-7224C49458BB}"/>
              </c:extLst>
            </c:dLbl>
            <c:dLbl>
              <c:idx val="7"/>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US"/>
                      <a:t>Toronto</a:t>
                    </a:r>
                    <a:endParaRPr lang="en-US"/>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1"/>
              <c:showCatName val="0"/>
              <c:showSerName val="0"/>
              <c:showPercent val="0"/>
              <c:showBubbleSize val="0"/>
              <c:extLst>
                <c:ext xmlns:c15="http://schemas.microsoft.com/office/drawing/2012/chart" uri="{CE6537A1-D6FC-4f65-9D91-7224C49458BB}"/>
              </c:extLst>
            </c:dLbl>
            <c:dLbl>
              <c:idx val="8"/>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US"/>
                      <a:t>Montreal</a:t>
                    </a:r>
                    <a:endParaRPr lang="en-US"/>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1"/>
              <c:showCatName val="0"/>
              <c:showSerName val="0"/>
              <c:showPercent val="0"/>
              <c:showBubbleSize val="0"/>
              <c:extLst>
                <c:ext xmlns:c15="http://schemas.microsoft.com/office/drawing/2012/chart" uri="{CE6537A1-D6FC-4f65-9D91-7224C49458BB}"/>
              </c:extLst>
            </c:dLbl>
            <c:dLbl>
              <c:idx val="9"/>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US"/>
                      <a:t>Chicago</a:t>
                    </a:r>
                    <a:endParaRPr lang="en-US"/>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1"/>
              <c:showCatName val="0"/>
              <c:showSerName val="0"/>
              <c:showPercent val="0"/>
              <c:showBubbleSize val="0"/>
              <c:extLst>
                <c:ext xmlns:c15="http://schemas.microsoft.com/office/drawing/2012/chart" uri="{CE6537A1-D6FC-4f65-9D91-7224C49458BB}"/>
              </c:extLst>
            </c:dLbl>
            <c:dLbl>
              <c:idx val="10"/>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US"/>
                      <a:t>Mexico</a:t>
                    </a:r>
                    <a:r>
                      <a:rPr lang="en-US" baseline="0"/>
                      <a:t> City</a:t>
                    </a:r>
                    <a:endParaRPr lang="en-US"/>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1"/>
              <c:showCatName val="0"/>
              <c:showSerName val="0"/>
              <c:showPercent val="0"/>
              <c:showBubbleSize val="0"/>
              <c:extLst>
                <c:ext xmlns:c15="http://schemas.microsoft.com/office/drawing/2012/chart" uri="{CE6537A1-D6FC-4f65-9D91-7224C49458BB}"/>
              </c:extLst>
            </c:dLbl>
            <c:dLbl>
              <c:idx val="11"/>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US"/>
                      <a:t>Lima</a:t>
                    </a:r>
                    <a:endParaRPr lang="en-US"/>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1"/>
              <c:showCatName val="0"/>
              <c:showSerName val="0"/>
              <c:showPercent val="0"/>
              <c:showBubbleSize val="0"/>
              <c:extLst>
                <c:ext xmlns:c15="http://schemas.microsoft.com/office/drawing/2012/chart" uri="{CE6537A1-D6FC-4f65-9D91-7224C49458BB}"/>
              </c:extLst>
            </c:dLbl>
            <c:dLbl>
              <c:idx val="12"/>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US"/>
                      <a:t>Santiago</a:t>
                    </a:r>
                    <a:endParaRPr lang="en-US"/>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1"/>
              <c:showCatName val="0"/>
              <c:showSerName val="0"/>
              <c:showPercent val="0"/>
              <c:showBubbleSize val="0"/>
              <c:extLst>
                <c:ext xmlns:c15="http://schemas.microsoft.com/office/drawing/2012/chart" uri="{CE6537A1-D6FC-4f65-9D91-7224C49458BB}"/>
              </c:extLst>
            </c:dLbl>
            <c:dLbl>
              <c:idx val="13"/>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US"/>
                      <a:t>New</a:t>
                    </a:r>
                    <a:r>
                      <a:rPr lang="en-US" baseline="0"/>
                      <a:t> York</a:t>
                    </a:r>
                    <a:endParaRPr lang="en-US"/>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1"/>
              <c:showCatName val="0"/>
              <c:showSerName val="0"/>
              <c:showPercent val="0"/>
              <c:showBubbleSize val="0"/>
              <c:extLst>
                <c:ext xmlns:c15="http://schemas.microsoft.com/office/drawing/2012/chart" uri="{CE6537A1-D6FC-4f65-9D91-7224C49458BB}"/>
              </c:extLst>
            </c:dLbl>
            <c:dLbl>
              <c:idx val="14"/>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US"/>
                      <a:t>Washington DC</a:t>
                    </a:r>
                    <a:endParaRPr lang="en-US"/>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1"/>
              <c:showCatName val="0"/>
              <c:showSerName val="0"/>
              <c:showPercent val="0"/>
              <c:showBubbleSize val="0"/>
              <c:extLst>
                <c:ext xmlns:c15="http://schemas.microsoft.com/office/drawing/2012/chart" uri="{CE6537A1-D6FC-4f65-9D91-7224C49458BB}"/>
              </c:extLst>
            </c:dLbl>
            <c:dLbl>
              <c:idx val="15"/>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US"/>
                      <a:t>Sydney</a:t>
                    </a:r>
                    <a:endParaRPr lang="en-US"/>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1"/>
              <c:showCatName val="0"/>
              <c:showSerName val="0"/>
              <c:showPercent val="0"/>
              <c:showBubbleSize val="0"/>
              <c:extLst>
                <c:ext xmlns:c15="http://schemas.microsoft.com/office/drawing/2012/chart" uri="{CE6537A1-D6FC-4f65-9D91-7224C49458BB}"/>
              </c:extLst>
            </c:dLbl>
            <c:dLbl>
              <c:idx val="16"/>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US"/>
                      <a:t>Melbourne</a:t>
                    </a:r>
                    <a:endParaRPr lang="en-US"/>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1"/>
              <c:showCatName val="0"/>
              <c:showSerName val="0"/>
              <c:showPercent val="0"/>
              <c:showBubbleSize val="0"/>
              <c:extLst>
                <c:ext xmlns:c15="http://schemas.microsoft.com/office/drawing/2012/chart" uri="{CE6537A1-D6FC-4f65-9D91-7224C49458BB}"/>
              </c:extLst>
            </c:dLbl>
            <c:dLbl>
              <c:idx val="17"/>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US"/>
                      <a:t>Hong</a:t>
                    </a:r>
                    <a:r>
                      <a:rPr lang="en-US" baseline="0"/>
                      <a:t> Kong</a:t>
                    </a:r>
                    <a:endParaRPr lang="en-US"/>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1"/>
              <c:showCatName val="0"/>
              <c:showSerName val="0"/>
              <c:showPercent val="0"/>
              <c:showBubbleSize val="0"/>
              <c:extLst>
                <c:ext xmlns:c15="http://schemas.microsoft.com/office/drawing/2012/chart" uri="{CE6537A1-D6FC-4f65-9D91-7224C49458BB}"/>
              </c:extLst>
            </c:dLbl>
            <c:dLbl>
              <c:idx val="18"/>
              <c:layout>
                <c:manualLayout>
                  <c:x val="-0.0346666666666667"/>
                  <c:y val="0.0048221820373719"/>
                </c:manualLayout>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US"/>
                      <a:t>Beijing</a:t>
                    </a:r>
                    <a:endParaRPr lang="en-US"/>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9"/>
              <c:layout>
                <c:manualLayout>
                  <c:x val="-0.0249512670565302"/>
                  <c:y val="0"/>
                </c:manualLayout>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Shanghai</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0"/>
              <c:showCatName val="0"/>
              <c:showSerName val="0"/>
              <c:showPercent val="0"/>
              <c:showBubbleSize val="0"/>
              <c:extLst>
                <c:ext xmlns:c15="http://schemas.microsoft.com/office/drawing/2012/chart" uri="{CE6537A1-D6FC-4f65-9D91-7224C49458BB}">
                  <c15:layout/>
                </c:ext>
              </c:extLst>
            </c:dLbl>
            <c:dLbl>
              <c:idx val="20"/>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Shenzhen</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21"/>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Guangzhou</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22"/>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Tianjin</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23"/>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Mumbai</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24"/>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Delhi</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25"/>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Jakarta</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26"/>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Tehran</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27"/>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Tokyo</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28"/>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Osaka</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29"/>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Singapore</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30"/>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Seoul</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31"/>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Taipei</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32"/>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Bangkok</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33"/>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Ho Chi Minh</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34"/>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Kuwait City</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35"/>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Doha</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36"/>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Riyadh</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37"/>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Abu Dhabi</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38"/>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Brussels</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39"/>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Paris</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40"/>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Frankfurt</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41"/>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Rome</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42"/>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Milan</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43"/>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Amsterdam</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44"/>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Moscow</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45"/>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Madrid</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46"/>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Barcelona</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47"/>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Zurich</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48"/>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Istanbul</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dLbl>
              <c:idx val="49"/>
              <c:layout/>
              <c:tx>
                <c:rich>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r>
                      <a:rPr lang="en-GB"/>
                      <a:t>London</a:t>
                    </a:r>
                    <a:endParaRPr lang="en-GB"/>
                  </a:p>
                </c:rich>
              </c:tx>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dLblPos val="ctr"/>
            <c:showLegendKey val="0"/>
            <c:showVal val="0"/>
            <c:showCatName val="0"/>
            <c:showSerName val="0"/>
            <c:showPercent val="0"/>
            <c:showBubbleSize val="0"/>
            <c:showLeaderLines val="0"/>
            <c:extLst>
              <c:ext xmlns:c15="http://schemas.microsoft.com/office/drawing/2012/chart" uri="{CE6537A1-D6FC-4f65-9D91-7224C49458BB}">
                <c15:layout/>
                <c15:showLeaderLines val="0"/>
                <c15:leaderLines/>
              </c:ext>
            </c:extLst>
          </c:dLbls>
          <c:xVal>
            <c:numRef>
              <c:f>iScatter!$T$21:$T$70</c:f>
              <c:numCache>
                <c:formatCode>General</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xVal>
          <c:yVal>
            <c:numRef>
              <c:f>iScatter!$U$21:$U$70</c:f>
              <c:numCache>
                <c:formatCode>General</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ser>
        <c:ser>
          <c:idx val="4"/>
          <c:order val="3"/>
          <c:tx>
            <c:strRef>
              <c:f>iScatter!$O$29</c:f>
              <c:strCache>
                <c:ptCount val="1"/>
                <c:pt idx="0">
                  <c:v>#N/A</c:v>
                </c:pt>
              </c:strCache>
            </c:strRef>
          </c:tx>
          <c:spPr>
            <a:ln w="28575" cap="rnd" cmpd="sng" algn="ctr">
              <a:noFill/>
              <a:prstDash val="solid"/>
              <a:round/>
            </a:ln>
          </c:spPr>
          <c:marker>
            <c:symbol val="circle"/>
            <c:size val="7"/>
            <c:spPr>
              <a:solidFill>
                <a:srgbClr val="31659C"/>
              </a:solidFill>
              <a:ln w="9525" cap="flat" cmpd="sng" algn="ctr">
                <a:noFill/>
                <a:prstDash val="solid"/>
                <a:round/>
              </a:ln>
            </c:spPr>
          </c:marker>
          <c:dLbls>
            <c:spPr>
              <a:noFill/>
              <a:ln w="25400">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xVal>
            <c:numRef>
              <c:f>iScatter!$P$29</c:f>
              <c:numCache>
                <c:formatCode>General</c:formatCode>
                <c:ptCount val="1"/>
                <c:pt idx="0">
                  <c:v>#N/A</c:v>
                </c:pt>
              </c:numCache>
            </c:numRef>
          </c:xVal>
          <c:yVal>
            <c:numRef>
              <c:f>iScatter!$Q$29</c:f>
              <c:numCache>
                <c:formatCode>General</c:formatCode>
                <c:ptCount val="1"/>
                <c:pt idx="0">
                  <c:v>#N/A</c:v>
                </c:pt>
              </c:numCache>
            </c:numRef>
          </c:yVal>
          <c:smooth val="0"/>
        </c:ser>
        <c:ser>
          <c:idx val="5"/>
          <c:order val="4"/>
          <c:tx>
            <c:strRef>
              <c:f>iScatter!$O$25</c:f>
              <c:strCache>
                <c:ptCount val="1"/>
                <c:pt idx="0">
                  <c:v>#N/A</c:v>
                </c:pt>
              </c:strCache>
            </c:strRef>
          </c:tx>
          <c:spPr>
            <a:ln w="28575" cap="rnd" cmpd="sng" algn="ctr">
              <a:noFill/>
              <a:prstDash val="solid"/>
              <a:round/>
            </a:ln>
          </c:spPr>
          <c:marker>
            <c:symbol val="circle"/>
            <c:size val="7"/>
            <c:spPr>
              <a:solidFill>
                <a:srgbClr val="31659C"/>
              </a:solidFill>
              <a:ln w="9525" cap="flat" cmpd="sng" algn="ctr">
                <a:noFill/>
                <a:prstDash val="solid"/>
                <a:round/>
              </a:ln>
            </c:spPr>
          </c:marker>
          <c:dLbls>
            <c:spPr>
              <a:noFill/>
              <a:ln w="25400">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xVal>
            <c:numRef>
              <c:f>iScatter!$P$25</c:f>
              <c:numCache>
                <c:formatCode>General</c:formatCode>
                <c:ptCount val="1"/>
                <c:pt idx="0">
                  <c:v>#N/A</c:v>
                </c:pt>
              </c:numCache>
            </c:numRef>
          </c:xVal>
          <c:yVal>
            <c:numRef>
              <c:f>iScatter!$Q$25</c:f>
              <c:numCache>
                <c:formatCode>General</c:formatCode>
                <c:ptCount val="1"/>
                <c:pt idx="0">
                  <c:v>#N/A</c:v>
                </c:pt>
              </c:numCache>
            </c:numRef>
          </c:yVal>
          <c:smooth val="0"/>
        </c:ser>
        <c:ser>
          <c:idx val="3"/>
          <c:order val="5"/>
          <c:tx>
            <c:strRef>
              <c:f>iScatter!$O$21</c:f>
              <c:strCache>
                <c:ptCount val="1"/>
                <c:pt idx="0">
                  <c:v>Abu Dhabi</c:v>
                </c:pt>
              </c:strCache>
            </c:strRef>
          </c:tx>
          <c:spPr>
            <a:ln w="28575" cap="rnd" cmpd="sng" algn="ctr">
              <a:noFill/>
              <a:prstDash val="solid"/>
              <a:round/>
            </a:ln>
          </c:spPr>
          <c:marker>
            <c:symbol val="circle"/>
            <c:size val="8"/>
            <c:spPr>
              <a:solidFill>
                <a:srgbClr val="FF0000"/>
              </a:solidFill>
              <a:ln w="9525" cap="flat" cmpd="sng" algn="ctr">
                <a:noFill/>
                <a:prstDash val="solid"/>
                <a:round/>
              </a:ln>
            </c:spPr>
          </c:marker>
          <c:dLbls>
            <c:spPr>
              <a:noFill/>
              <a:ln w="25400">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xVal>
            <c:numRef>
              <c:f>iScatter!$P$21</c:f>
              <c:numCache>
                <c:formatCode>General</c:formatCode>
                <c:ptCount val="1"/>
                <c:pt idx="0">
                  <c:v>85.81</c:v>
                </c:pt>
              </c:numCache>
            </c:numRef>
          </c:xVal>
          <c:yVal>
            <c:numRef>
              <c:f>iScatter!$Q$21</c:f>
              <c:numCache>
                <c:formatCode>General</c:formatCode>
                <c:ptCount val="1"/>
                <c:pt idx="0">
                  <c:v>2</c:v>
                </c:pt>
              </c:numCache>
            </c:numRef>
          </c:yVal>
          <c:smooth val="0"/>
        </c:ser>
        <c:dLbls>
          <c:showLegendKey val="0"/>
          <c:showVal val="0"/>
          <c:showCatName val="0"/>
          <c:showSerName val="0"/>
          <c:showPercent val="0"/>
          <c:showBubbleSize val="0"/>
        </c:dLbls>
        <c:axId val="102518784"/>
        <c:axId val="102520704"/>
      </c:scatterChart>
      <c:valAx>
        <c:axId val="102518784"/>
        <c:scaling>
          <c:orientation val="minMax"/>
        </c:scaling>
        <c:delete val="0"/>
        <c:axPos val="b"/>
        <c:majorGridlines>
          <c:spPr>
            <a:ln w="9525" cap="flat" cmpd="sng" algn="ctr">
              <a:solidFill>
                <a:schemeClr val="bg1"/>
              </a:solidFill>
              <a:prstDash val="solid"/>
              <a:round/>
            </a:ln>
          </c:spPr>
        </c:majorGridlines>
        <c:title>
          <c:tx>
            <c:strRef>
              <c:f>iScatter!$B$11</c:f>
              <c:strCache>
                <c:ptCount val="1"/>
                <c:pt idx="0">
                  <c:v>Quality of electricity infrastructure</c:v>
                </c:pt>
              </c:strCache>
            </c:strRef>
          </c:tx>
          <c:layout/>
          <c:overlay val="0"/>
          <c:spPr>
            <a:noFill/>
            <a:ln w="25400">
              <a:noFill/>
            </a:ln>
          </c:spPr>
        </c:title>
        <c:numFmt formatCode="General" sourceLinked="1"/>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1000" b="0" i="0" u="none" strike="noStrike" kern="1200" baseline="0">
                <a:solidFill>
                  <a:schemeClr val="bg1">
                    <a:lumMod val="50000"/>
                  </a:schemeClr>
                </a:solidFill>
                <a:latin typeface="Calibri" panose="020F0502020204030204"/>
                <a:ea typeface="Calibri" panose="020F0502020204030204"/>
                <a:cs typeface="Calibri" panose="020F0502020204030204"/>
              </a:defRPr>
            </a:pPr>
          </a:p>
        </c:txPr>
        <c:crossAx val="102520704"/>
        <c:crosses val="autoZero"/>
        <c:crossBetween val="midCat"/>
      </c:valAx>
      <c:valAx>
        <c:axId val="102520704"/>
        <c:scaling>
          <c:orientation val="minMax"/>
        </c:scaling>
        <c:delete val="0"/>
        <c:axPos val="l"/>
        <c:majorGridlines>
          <c:spPr>
            <a:ln w="9525" cap="flat" cmpd="sng" algn="ctr">
              <a:solidFill>
                <a:schemeClr val="bg1"/>
              </a:solidFill>
              <a:prstDash val="solid"/>
              <a:round/>
            </a:ln>
          </c:spPr>
        </c:majorGridlines>
        <c:title>
          <c:tx>
            <c:strRef>
              <c:f>iScatter!$B$11</c:f>
              <c:strCache>
                <c:ptCount val="1"/>
                <c:pt idx="0">
                  <c:v>Quality of electricity infrastructure</c:v>
                </c:pt>
              </c:strCache>
            </c:strRef>
          </c:tx>
          <c:layout/>
          <c:overlay val="0"/>
          <c:spPr>
            <a:noFill/>
            <a:ln w="25400">
              <a:noFill/>
            </a:ln>
          </c:spPr>
        </c:title>
        <c:numFmt formatCode="General" sourceLinked="1"/>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1000" b="0" i="0" u="none" strike="noStrike" kern="1200" baseline="0">
                <a:solidFill>
                  <a:schemeClr val="bg1">
                    <a:lumMod val="50000"/>
                  </a:schemeClr>
                </a:solidFill>
                <a:latin typeface="Calibri" panose="020F0502020204030204"/>
                <a:ea typeface="Calibri" panose="020F0502020204030204"/>
                <a:cs typeface="Calibri" panose="020F0502020204030204"/>
              </a:defRPr>
            </a:pPr>
          </a:p>
        </c:txPr>
        <c:crossAx val="102518784"/>
        <c:crosses val="autoZero"/>
        <c:crossBetween val="midCat"/>
      </c:valAx>
      <c:spPr>
        <a:solidFill>
          <a:schemeClr val="bg2"/>
        </a:solidFill>
        <a:ln w="25400">
          <a:noFill/>
        </a:ln>
      </c:spPr>
    </c:plotArea>
    <c:plotVisOnly val="1"/>
    <c:dispBlanksAs val="gap"/>
    <c:showDLblsOverMax val="0"/>
  </c:chart>
  <c:spPr>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Lines="27" dx="16" fmlaLink="uxbWorks!$B$17" fmlaRange="luCountryHighlight" max="24" noThreeD="1" page="27" sel="39" val="0"/>
</file>

<file path=xl/ctrlProps/ctrlProp10.xml><?xml version="1.0" encoding="utf-8"?>
<formControlPr xmlns="http://schemas.microsoft.com/office/spreadsheetml/2009/9/main" objectType="Drop" dropLines="27" dx="16" fmlaLink="uxbWorks!$B$25" fmlaRange="tblCities!$F$2:$F$6" noThreeD="1" page="5" sel="1" val="0"/>
</file>

<file path=xl/ctrlProps/ctrlProp11.xml><?xml version="1.0" encoding="utf-8"?>
<formControlPr xmlns="http://schemas.microsoft.com/office/spreadsheetml/2009/9/main" objectType="CheckBox" fmlaLink="uxbWorks!$B$9" noThreeD="1" val="0"/>
</file>

<file path=xl/ctrlProps/ctrlProp12.xml><?xml version="1.0" encoding="utf-8"?>
<formControlPr xmlns="http://schemas.microsoft.com/office/spreadsheetml/2009/9/main" objectType="Drop" dropLines="27" dx="16" fmlaLink="uxbWorks!$B$15" fmlaRange="luCountry" max="23" noThreeD="1" page="27" sel="38" val="0"/>
</file>

<file path=xl/ctrlProps/ctrlProp13.xml><?xml version="1.0" encoding="utf-8"?>
<formControlPr xmlns="http://schemas.microsoft.com/office/spreadsheetml/2009/9/main" objectType="Drop" dropLines="27" dx="16" fmlaLink="uxbWorks!$B$22" fmlaRange="tblCities!$B$62:$B$63" noThreeD="1" page="2" sel="1" val="0"/>
</file>

<file path=xl/ctrlProps/ctrlProp14.xml><?xml version="1.0" encoding="utf-8"?>
<formControlPr xmlns="http://schemas.microsoft.com/office/spreadsheetml/2009/9/main" objectType="CheckBox" fmlaLink="uxbWorks!$B$9" noThreeD="1" val="0"/>
</file>

<file path=xl/ctrlProps/ctrlProp15.xml><?xml version="1.0" encoding="utf-8"?>
<formControlPr xmlns="http://schemas.microsoft.com/office/spreadsheetml/2009/9/main" objectType="Drop" dropLines="25" dx="16" fmlaLink="uxbWorks!$B$15" fmlaRange="tblCities!$C$3:$C$52" max="25" noThreeD="1" page="25" sel="38" val="0"/>
</file>

<file path=xl/ctrlProps/ctrlProp16.xml><?xml version="1.0" encoding="utf-8"?>
<formControlPr xmlns="http://schemas.microsoft.com/office/spreadsheetml/2009/9/main" objectType="Drop" dropLines="25" dx="16" fmlaLink="uxbWorks!$B$44" fmlaRange="tblCities!$C$3:$C$52" max="25" noThreeD="1" page="25" sel="40" val="25"/>
</file>

<file path=xl/ctrlProps/ctrlProp17.xml><?xml version="1.0" encoding="utf-8"?>
<formControlPr xmlns="http://schemas.microsoft.com/office/spreadsheetml/2009/9/main" objectType="Drop" dropLines="4" dx="16" fmlaLink="uxbWorks!$B$43" fmlaRange="tblIndiSets!$C$4:$C$7" noThreeD="1" page="4" sel="1" val="0"/>
</file>

<file path=xl/ctrlProps/ctrlProp18.xml><?xml version="1.0" encoding="utf-8"?>
<formControlPr xmlns="http://schemas.microsoft.com/office/spreadsheetml/2009/9/main" objectType="Drop" dropLines="25" dx="16" fmlaLink="uxbWorks!$B$45" fmlaRange="iCityComp!$D$22:$D$23" noThreeD="1" page="2" sel="2" val="0"/>
</file>

<file path=xl/ctrlProps/ctrlProp19.xml><?xml version="1.0" encoding="utf-8"?>
<formControlPr xmlns="http://schemas.microsoft.com/office/spreadsheetml/2009/9/main" objectType="Drop" dropLines="27" dx="16" fmlaLink="uxbWorks!$B$18" fmlaRange="tblIndiSets!$C$75:$C$131" max="30" noThreeD="1" page="27" sel="35" val="26"/>
</file>

<file path=xl/ctrlProps/ctrlProp2.xml><?xml version="1.0" encoding="utf-8"?>
<formControlPr xmlns="http://schemas.microsoft.com/office/spreadsheetml/2009/9/main" objectType="Drop" dropLines="27" dx="16" fmlaLink="uxbWorks!$B$23" fmlaRange="tblCities!$F$2:$F$6" noThreeD="1" page="5" sel="1" val="0"/>
</file>

<file path=xl/ctrlProps/ctrlProp20.xml><?xml version="1.0" encoding="utf-8"?>
<formControlPr xmlns="http://schemas.microsoft.com/office/spreadsheetml/2009/9/main" objectType="Drop" dropLines="27" dx="16" fmlaLink="uxbWorks!$B$19" fmlaRange="tblIndiSets!$C$135:$C$191" max="30" noThreeD="1" page="27" sel="33" val="26"/>
</file>

<file path=xl/ctrlProps/ctrlProp21.xml><?xml version="1.0" encoding="utf-8"?>
<formControlPr xmlns="http://schemas.microsoft.com/office/spreadsheetml/2009/9/main" objectType="Drop" dropLines="27" dx="16" fmlaLink="uxbWorks!$B$17" fmlaRange="luCountryHighlight" max="24" noThreeD="1" page="27" sel="39" val="0"/>
</file>

<file path=xl/ctrlProps/ctrlProp22.xml><?xml version="1.0" encoding="utf-8"?>
<formControlPr xmlns="http://schemas.microsoft.com/office/spreadsheetml/2009/9/main" objectType="CheckBox" fmlaLink="uxbWorks!$B$20" noThreeD="1" val="0"/>
</file>

<file path=xl/ctrlProps/ctrlProp23.xml><?xml version="1.0" encoding="utf-8"?>
<formControlPr xmlns="http://schemas.microsoft.com/office/spreadsheetml/2009/9/main" objectType="CheckBox" fmlaLink="uxbWorks!$B$21" noThreeD="1" val="0"/>
</file>

<file path=xl/ctrlProps/ctrlProp24.xml><?xml version="1.0" encoding="utf-8"?>
<formControlPr xmlns="http://schemas.microsoft.com/office/spreadsheetml/2009/9/main" objectType="Drop" dropLines="27" dx="16" fmlaLink="uxbWorks!$B$23" fmlaRange="tblCities!$F$2:$F$6" noThreeD="1" page="5" sel="1" val="0"/>
</file>

<file path=xl/ctrlProps/ctrlProp25.xml><?xml version="1.0" encoding="utf-8"?>
<formControlPr xmlns="http://schemas.microsoft.com/office/spreadsheetml/2009/9/main" objectType="Drop" dropLines="27" dx="16" fmlaLink="uxbWorks!$B$25" fmlaRange="tblCities!$F$2:$F$6" noThreeD="1" page="5" sel="1" val="0"/>
</file>

<file path=xl/ctrlProps/ctrlProp26.xml><?xml version="1.0" encoding="utf-8"?>
<formControlPr xmlns="http://schemas.microsoft.com/office/spreadsheetml/2009/9/main" objectType="CheckBox" fmlaLink="uxbWorks!$B$9" noThreeD="1" val="0"/>
</file>

<file path=xl/ctrlProps/ctrlProp27.xml><?xml version="1.0" encoding="utf-8"?>
<formControlPr xmlns="http://schemas.microsoft.com/office/spreadsheetml/2009/9/main" objectType="Drop" dropLines="12" dx="16" fmlaLink="uxbWorks!$B$7" fmlaRange="iWeights!$A$3:$A$12" noThreeD="1" page="10" sel="1" val="0"/>
</file>

<file path=xl/ctrlProps/ctrlProp28.xml><?xml version="1.0" encoding="utf-8"?>
<formControlPr xmlns="http://schemas.microsoft.com/office/spreadsheetml/2009/9/main" objectType="Button" val="0"/>
</file>

<file path=xl/ctrlProps/ctrlProp3.xml><?xml version="1.0" encoding="utf-8"?>
<formControlPr xmlns="http://schemas.microsoft.com/office/spreadsheetml/2009/9/main" objectType="Drop" dropLines="27" dx="16" fmlaLink="uxbWorks!$B$24" fmlaRange="luCountryHighlight" max="24" noThreeD="1" page="27" sel="37" val="0"/>
</file>

<file path=xl/ctrlProps/ctrlProp4.xml><?xml version="1.0" encoding="utf-8"?>
<formControlPr xmlns="http://schemas.microsoft.com/office/spreadsheetml/2009/9/main" objectType="CheckBox" fmlaLink="uxbWorks!$B$9" noThreeD="1" val="0"/>
</file>

<file path=xl/ctrlProps/ctrlProp5.xml><?xml version="1.0" encoding="utf-8"?>
<formControlPr xmlns="http://schemas.microsoft.com/office/spreadsheetml/2009/9/main" objectType="Drop" dropLines="27" dx="16" fmlaLink="uxbWorks!$B$25" fmlaRange="tblCities!$F$2:$F$6" noThreeD="1" page="5" sel="1" val="0"/>
</file>

<file path=xl/ctrlProps/ctrlProp6.xml><?xml version="1.0" encoding="utf-8"?>
<formControlPr xmlns="http://schemas.microsoft.com/office/spreadsheetml/2009/9/main" objectType="Drop" dropLines="12" dx="16" fmlaLink="uxbWorks!$B$7" fmlaRange="iWeights!$A$3:$A$12" noThreeD="1" page="10" sel="1" val="0"/>
</file>

<file path=xl/ctrlProps/ctrlProp7.xml><?xml version="1.0" encoding="utf-8"?>
<formControlPr xmlns="http://schemas.microsoft.com/office/spreadsheetml/2009/9/main" objectType="Drop" dropLines="27" dx="16" fmlaLink="uxbWorks!$B$16" fmlaRange="tblIndiSets!$C$241:$C$297" max="30" noThreeD="1" page="27" sel="49" val="26"/>
</file>

<file path=xl/ctrlProps/ctrlProp8.xml><?xml version="1.0" encoding="utf-8"?>
<formControlPr xmlns="http://schemas.microsoft.com/office/spreadsheetml/2009/9/main" objectType="Drop" dropLines="27" dx="16" fmlaLink="uxbWorks!$B$17" fmlaRange="luCountryHighlight" max="24" noThreeD="1" page="27" sel="39" val="0"/>
</file>

<file path=xl/ctrlProps/ctrlProp9.xml><?xml version="1.0" encoding="utf-8"?>
<formControlPr xmlns="http://schemas.microsoft.com/office/spreadsheetml/2009/9/main" objectType="Drop" dropLines="27" dx="16" fmlaLink="uxbWorks!$B$23" fmlaRange="tblCities!$F$2:$F$6" noThreeD="1" page="5" sel="1" val="0"/>
</file>

<file path=xl/drawings/_rels/drawing1.xml.rels><?xml version="1.0" encoding="UTF-8" standalone="yes"?>
<Relationships xmlns="http://schemas.openxmlformats.org/package/2006/relationships"><Relationship Id="rId5" Type="http://schemas.openxmlformats.org/officeDocument/2006/relationships/image" Target="../media/image3.png"/><Relationship Id="rId4" Type="http://schemas.openxmlformats.org/officeDocument/2006/relationships/image" Target="../media/image2.jpeg"/><Relationship Id="rId3" Type="http://schemas.openxmlformats.org/officeDocument/2006/relationships/hyperlink" Target="http://www.eiu.com/" TargetMode="External"/><Relationship Id="rId2" Type="http://schemas.openxmlformats.org/officeDocument/2006/relationships/image" Target="../media/image1.png"/><Relationship Id="rId1" Type="http://schemas.openxmlformats.org/officeDocument/2006/relationships/hyperlink" Target="http://office.microsoft.com/en-gb/excel-help/change-macro-security-settings-in-excel-HP010096919.aspx"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ome!A1"/><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jpeg"/><Relationship Id="rId1" Type="http://schemas.openxmlformats.org/officeDocument/2006/relationships/hyperlink" Target="http://www.eiu.com/"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ome!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ome!A1"/><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4" Type="http://schemas.openxmlformats.org/officeDocument/2006/relationships/image" Target="../media/image2.jpeg"/><Relationship Id="rId3" Type="http://schemas.openxmlformats.org/officeDocument/2006/relationships/hyperlink" Target="#Home!A1"/><Relationship Id="rId2" Type="http://schemas.openxmlformats.org/officeDocument/2006/relationships/image" Target="../media/image5.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4" Type="http://schemas.openxmlformats.org/officeDocument/2006/relationships/image" Target="../media/image2.jpeg"/><Relationship Id="rId3" Type="http://schemas.openxmlformats.org/officeDocument/2006/relationships/hyperlink" Target="#Home!A1"/><Relationship Id="rId2" Type="http://schemas.openxmlformats.org/officeDocument/2006/relationships/image" Target="../media/image5.png"/><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4" Type="http://schemas.openxmlformats.org/officeDocument/2006/relationships/image" Target="../media/image2.jpeg"/><Relationship Id="rId3" Type="http://schemas.openxmlformats.org/officeDocument/2006/relationships/hyperlink" Target="#Home!A1"/><Relationship Id="rId2" Type="http://schemas.openxmlformats.org/officeDocument/2006/relationships/image" Target="../media/image5.png"/><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ome!A1"/><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Home!A1"/><Relationship Id="rId1" Type="http://schemas.openxmlformats.org/officeDocument/2006/relationships/image" Target="../media/image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0</xdr:colOff>
      <xdr:row>16</xdr:row>
      <xdr:rowOff>57150</xdr:rowOff>
    </xdr:from>
    <xdr:to>
      <xdr:col>14</xdr:col>
      <xdr:colOff>0</xdr:colOff>
      <xdr:row>17</xdr:row>
      <xdr:rowOff>133350</xdr:rowOff>
    </xdr:to>
    <xdr:sp>
      <xdr:nvSpPr>
        <xdr:cNvPr id="2" name="Macro_Link">
          <a:hlinkClick xmlns:r="http://schemas.openxmlformats.org/officeDocument/2006/relationships" r:id="rId1"/>
        </xdr:cNvPr>
        <xdr:cNvSpPr txBox="1"/>
      </xdr:nvSpPr>
      <xdr:spPr>
        <a:xfrm>
          <a:off x="1466850" y="4000500"/>
          <a:ext cx="67056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GB" sz="1100" b="0" i="0" u="sng" strike="noStrike" baseline="0">
              <a:solidFill>
                <a:srgbClr val="005E9E"/>
              </a:solidFill>
              <a:latin typeface="Calibri" panose="020F0502020204030204"/>
            </a:rPr>
            <a:t>http://office.microsoft.com/en-gb/excel-help/change-macro-security-settings-in-excel-HP010096919.aspx</a:t>
          </a:r>
          <a:endParaRPr lang="en-GB" sz="1100" b="0" i="0" u="sng" strike="noStrike" baseline="0">
            <a:solidFill>
              <a:srgbClr val="005E9E"/>
            </a:solidFill>
            <a:latin typeface="Calibri" panose="020F0502020204030204"/>
          </a:endParaRPr>
        </a:p>
      </xdr:txBody>
    </xdr:sp>
    <xdr:clientData/>
  </xdr:twoCellAnchor>
  <xdr:twoCellAnchor>
    <xdr:from>
      <xdr:col>0</xdr:col>
      <xdr:colOff>0</xdr:colOff>
      <xdr:row>1</xdr:row>
      <xdr:rowOff>1</xdr:rowOff>
    </xdr:from>
    <xdr:to>
      <xdr:col>16</xdr:col>
      <xdr:colOff>0</xdr:colOff>
      <xdr:row>2</xdr:row>
      <xdr:rowOff>0</xdr:rowOff>
    </xdr:to>
    <xdr:sp>
      <xdr:nvSpPr>
        <xdr:cNvPr id="3" name="title"/>
        <xdr:cNvSpPr txBox="1"/>
      </xdr:nvSpPr>
      <xdr:spPr>
        <a:xfrm>
          <a:off x="0" y="409575"/>
          <a:ext cx="9029700" cy="571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0">
            <a:defRPr sz="1000"/>
          </a:pPr>
          <a:r>
            <a:rPr lang="en-US" sz="2800" b="0" i="0" u="none" strike="noStrike" baseline="0">
              <a:solidFill>
                <a:srgbClr val="000000"/>
              </a:solidFill>
              <a:latin typeface="Calibri" panose="020F0502020204030204"/>
            </a:rPr>
            <a:t>SAFE CITY INDEX</a:t>
          </a:r>
          <a:endParaRPr lang="en-US" sz="2800" b="0" i="0" u="none" strike="noStrike" baseline="0">
            <a:solidFill>
              <a:srgbClr val="000000"/>
            </a:solidFill>
            <a:latin typeface="Calibri" panose="020F0502020204030204"/>
          </a:endParaRPr>
        </a:p>
      </xdr:txBody>
    </xdr:sp>
    <xdr:clientData/>
  </xdr:twoCellAnchor>
  <xdr:twoCellAnchor>
    <xdr:from>
      <xdr:col>0</xdr:col>
      <xdr:colOff>28575</xdr:colOff>
      <xdr:row>11</xdr:row>
      <xdr:rowOff>57151</xdr:rowOff>
    </xdr:from>
    <xdr:to>
      <xdr:col>16</xdr:col>
      <xdr:colOff>28575</xdr:colOff>
      <xdr:row>13</xdr:row>
      <xdr:rowOff>57151</xdr:rowOff>
    </xdr:to>
    <xdr:sp>
      <xdr:nvSpPr>
        <xdr:cNvPr id="4" name="Macro_Text"/>
        <xdr:cNvSpPr txBox="1"/>
      </xdr:nvSpPr>
      <xdr:spPr>
        <a:xfrm>
          <a:off x="28575" y="2752725"/>
          <a:ext cx="902970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1" i="0" u="none" strike="noStrike">
              <a:solidFill>
                <a:srgbClr val="000000"/>
              </a:solidFill>
              <a:latin typeface="+mn-lt"/>
            </a:rPr>
            <a:t>Please enable macros to access this workbook. </a:t>
          </a:r>
          <a:endParaRPr lang="en-US" sz="2000" b="1" i="0" u="none" strike="noStrike">
            <a:solidFill>
              <a:srgbClr val="000000"/>
            </a:solidFill>
            <a:latin typeface="+mn-lt"/>
          </a:endParaRPr>
        </a:p>
      </xdr:txBody>
    </xdr:sp>
    <xdr:clientData/>
  </xdr:twoCellAnchor>
  <xdr:twoCellAnchor editAs="oneCell">
    <xdr:from>
      <xdr:col>1</xdr:col>
      <xdr:colOff>257175</xdr:colOff>
      <xdr:row>11</xdr:row>
      <xdr:rowOff>66675</xdr:rowOff>
    </xdr:from>
    <xdr:to>
      <xdr:col>2</xdr:col>
      <xdr:colOff>504825</xdr:colOff>
      <xdr:row>14</xdr:row>
      <xdr:rowOff>352425</xdr:rowOff>
    </xdr:to>
    <xdr:pic>
      <xdr:nvPicPr>
        <xdr:cNvPr id="6" name="MacroWarning" descr="warning.png"/>
        <xdr:cNvPicPr>
          <a:picLocks noChangeAspect="1"/>
        </xdr:cNvPicPr>
      </xdr:nvPicPr>
      <xdr:blipFill>
        <a:blip r:embed="rId2" cstate="print"/>
        <a:srcRect/>
        <a:stretch>
          <a:fillRect/>
        </a:stretch>
      </xdr:blipFill>
      <xdr:spPr>
        <a:xfrm>
          <a:off x="504825" y="2762250"/>
          <a:ext cx="857250" cy="857250"/>
        </a:xfrm>
        <a:prstGeom prst="rect">
          <a:avLst/>
        </a:prstGeom>
        <a:noFill/>
        <a:ln w="9525">
          <a:noFill/>
          <a:miter lim="800000"/>
          <a:headEnd/>
          <a:tailEnd/>
        </a:ln>
      </xdr:spPr>
    </xdr:pic>
    <xdr:clientData/>
  </xdr:twoCellAnchor>
  <xdr:twoCellAnchor editAs="oneCell">
    <xdr:from>
      <xdr:col>12</xdr:col>
      <xdr:colOff>352425</xdr:colOff>
      <xdr:row>0</xdr:row>
      <xdr:rowOff>0</xdr:rowOff>
    </xdr:from>
    <xdr:to>
      <xdr:col>15</xdr:col>
      <xdr:colOff>0</xdr:colOff>
      <xdr:row>0</xdr:row>
      <xdr:rowOff>361950</xdr:rowOff>
    </xdr:to>
    <xdr:pic>
      <xdr:nvPicPr>
        <xdr:cNvPr id="10" name="Picture 1" descr="eiulogo">
          <a:hlinkClick xmlns:r="http://schemas.openxmlformats.org/officeDocument/2006/relationships" r:id="rId3"/>
        </xdr:cNvPr>
        <xdr:cNvPicPr>
          <a:picLocks noChangeAspect="1" noChangeArrowheads="1"/>
        </xdr:cNvPicPr>
      </xdr:nvPicPr>
      <xdr:blipFill>
        <a:blip r:embed="rId4" cstate="print"/>
        <a:srcRect/>
        <a:stretch>
          <a:fillRect/>
        </a:stretch>
      </xdr:blipFill>
      <xdr:spPr>
        <a:xfrm>
          <a:off x="7305675" y="0"/>
          <a:ext cx="1476375" cy="361950"/>
        </a:xfrm>
        <a:prstGeom prst="rect">
          <a:avLst/>
        </a:prstGeom>
        <a:noFill/>
        <a:ln w="9525">
          <a:noFill/>
          <a:miter lim="800000"/>
          <a:headEnd/>
          <a:tailEnd/>
        </a:ln>
      </xdr:spPr>
    </xdr:pic>
    <xdr:clientData/>
  </xdr:twoCellAnchor>
  <xdr:twoCellAnchor editAs="oneCell">
    <xdr:from>
      <xdr:col>4</xdr:col>
      <xdr:colOff>66675</xdr:colOff>
      <xdr:row>5</xdr:row>
      <xdr:rowOff>0</xdr:rowOff>
    </xdr:from>
    <xdr:to>
      <xdr:col>11</xdr:col>
      <xdr:colOff>453736</xdr:colOff>
      <xdr:row>7</xdr:row>
      <xdr:rowOff>28575</xdr:rowOff>
    </xdr:to>
    <xdr:pic>
      <xdr:nvPicPr>
        <xdr:cNvPr id="8" name="Picture 7" descr="logo_nec.png"/>
        <xdr:cNvPicPr>
          <a:picLocks noChangeAspect="1"/>
        </xdr:cNvPicPr>
      </xdr:nvPicPr>
      <xdr:blipFill>
        <a:blip r:embed="rId5" cstate="print"/>
        <a:stretch>
          <a:fillRect/>
        </a:stretch>
      </xdr:blipFill>
      <xdr:spPr>
        <a:xfrm>
          <a:off x="2143125" y="1552575"/>
          <a:ext cx="4653915" cy="409575"/>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xdr:from>
      <xdr:col>7</xdr:col>
      <xdr:colOff>600075</xdr:colOff>
      <xdr:row>6</xdr:row>
      <xdr:rowOff>0</xdr:rowOff>
    </xdr:from>
    <xdr:to>
      <xdr:col>15</xdr:col>
      <xdr:colOff>0</xdr:colOff>
      <xdr:row>11</xdr:row>
      <xdr:rowOff>0</xdr:rowOff>
    </xdr:to>
    <xdr:sp>
      <xdr:nvSpPr>
        <xdr:cNvPr id="132" name="TextBox 131"/>
        <xdr:cNvSpPr txBox="1"/>
      </xdr:nvSpPr>
      <xdr:spPr>
        <a:xfrm>
          <a:off x="5486400" y="1676400"/>
          <a:ext cx="4200525"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Adjust the relative importance of any</a:t>
          </a:r>
          <a:r>
            <a:rPr lang="en-GB" sz="1100" baseline="0"/>
            <a:t> category or indicator by entering the nominal weight in the orange cells.</a:t>
          </a:r>
          <a:endParaRPr lang="en-GB" sz="1100" baseline="0"/>
        </a:p>
        <a:p>
          <a:endParaRPr lang="en-GB" sz="1100" baseline="0"/>
        </a:p>
        <a:p>
          <a:r>
            <a:rPr lang="en-GB" sz="1100" baseline="0"/>
            <a:t>Percentage weights are calculated automatically.</a:t>
          </a:r>
          <a:endParaRPr lang="en-GB" sz="1100" baseline="0"/>
        </a:p>
        <a:p>
          <a:endParaRPr lang="en-GB" sz="1100" baseline="0"/>
        </a:p>
      </xdr:txBody>
    </xdr:sp>
    <xdr:clientData/>
  </xdr:twoCellAnchor>
  <xdr:twoCellAnchor editAs="absolute">
    <xdr:from>
      <xdr:col>16</xdr:col>
      <xdr:colOff>415925</xdr:colOff>
      <xdr:row>0</xdr:row>
      <xdr:rowOff>82550</xdr:rowOff>
    </xdr:from>
    <xdr:to>
      <xdr:col>17</xdr:col>
      <xdr:colOff>244475</xdr:colOff>
      <xdr:row>1</xdr:row>
      <xdr:rowOff>177800</xdr:rowOff>
    </xdr:to>
    <xdr:pic macro="[0]!Control_Change">
      <xdr:nvPicPr>
        <xdr:cNvPr id="24" name="pdf" descr="1372801245_pdf.png"/>
        <xdr:cNvPicPr>
          <a:picLocks noChangeAspect="1"/>
        </xdr:cNvPicPr>
      </xdr:nvPicPr>
      <xdr:blipFill>
        <a:blip r:embed="rId1" cstate="print"/>
        <a:srcRect/>
        <a:stretch>
          <a:fillRect/>
        </a:stretch>
      </xdr:blipFill>
      <xdr:spPr>
        <a:xfrm>
          <a:off x="10702925" y="82550"/>
          <a:ext cx="428625" cy="438150"/>
        </a:xfrm>
        <a:prstGeom prst="rect">
          <a:avLst/>
        </a:prstGeom>
        <a:noFill/>
        <a:ln w="9525">
          <a:noFill/>
          <a:miter lim="800000"/>
          <a:headEnd/>
          <a:tailEnd/>
        </a:ln>
      </xdr:spPr>
    </xdr:pic>
    <xdr:clientData fPrintsWithSheet="0"/>
  </xdr:twoCellAnchor>
  <xdr:twoCellAnchor editAs="absolute">
    <xdr:from>
      <xdr:col>0</xdr:col>
      <xdr:colOff>0</xdr:colOff>
      <xdr:row>1</xdr:row>
      <xdr:rowOff>266699</xdr:rowOff>
    </xdr:from>
    <xdr:to>
      <xdr:col>17</xdr:col>
      <xdr:colOff>238125</xdr:colOff>
      <xdr:row>2</xdr:row>
      <xdr:rowOff>476249</xdr:rowOff>
    </xdr:to>
    <xdr:sp>
      <xdr:nvSpPr>
        <xdr:cNvPr id="25" name="nav_controls"/>
        <xdr:cNvSpPr/>
      </xdr:nvSpPr>
      <xdr:spPr>
        <a:xfrm>
          <a:off x="0" y="608965"/>
          <a:ext cx="11125200" cy="476250"/>
        </a:xfrm>
        <a:prstGeom prst="rect">
          <a:avLst/>
        </a:prstGeom>
        <a:solidFill>
          <a:srgbClr val="F0F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editAs="absolute">
    <xdr:from>
      <xdr:col>0</xdr:col>
      <xdr:colOff>0</xdr:colOff>
      <xdr:row>0</xdr:row>
      <xdr:rowOff>342899</xdr:rowOff>
    </xdr:from>
    <xdr:to>
      <xdr:col>4</xdr:col>
      <xdr:colOff>819785</xdr:colOff>
      <xdr:row>1</xdr:row>
      <xdr:rowOff>266699</xdr:rowOff>
    </xdr:to>
    <xdr:sp macro="[0]!Control_Change">
      <xdr:nvSpPr>
        <xdr:cNvPr id="26" name="tab1_0"/>
        <xdr:cNvSpPr txBox="1"/>
      </xdr:nvSpPr>
      <xdr:spPr>
        <a:xfrm>
          <a:off x="0" y="342265"/>
          <a:ext cx="107696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SUMMARY</a:t>
          </a:r>
          <a:endParaRPr lang="en-GB" sz="1200" b="1">
            <a:solidFill>
              <a:srgbClr val="808080"/>
            </a:solidFill>
          </a:endParaRPr>
        </a:p>
      </xdr:txBody>
    </xdr:sp>
    <xdr:clientData fPrintsWithSheet="0"/>
  </xdr:twoCellAnchor>
  <xdr:twoCellAnchor editAs="absolute">
    <xdr:from>
      <xdr:col>4</xdr:col>
      <xdr:colOff>819784</xdr:colOff>
      <xdr:row>0</xdr:row>
      <xdr:rowOff>342899</xdr:rowOff>
    </xdr:from>
    <xdr:to>
      <xdr:col>4</xdr:col>
      <xdr:colOff>2506344</xdr:colOff>
      <xdr:row>1</xdr:row>
      <xdr:rowOff>266699</xdr:rowOff>
    </xdr:to>
    <xdr:sp macro="[0]!Control_Change">
      <xdr:nvSpPr>
        <xdr:cNvPr id="27" name="tab1_1"/>
        <xdr:cNvSpPr txBox="1"/>
      </xdr:nvSpPr>
      <xdr:spPr>
        <a:xfrm>
          <a:off x="1076325" y="342265"/>
          <a:ext cx="168656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INDICATOR RANKS</a:t>
          </a:r>
          <a:endParaRPr lang="en-GB" sz="1200" b="1">
            <a:solidFill>
              <a:srgbClr val="808080"/>
            </a:solidFill>
          </a:endParaRPr>
        </a:p>
      </xdr:txBody>
    </xdr:sp>
    <xdr:clientData fPrintsWithSheet="0"/>
  </xdr:twoCellAnchor>
  <xdr:twoCellAnchor editAs="absolute">
    <xdr:from>
      <xdr:col>4</xdr:col>
      <xdr:colOff>2506344</xdr:colOff>
      <xdr:row>0</xdr:row>
      <xdr:rowOff>342899</xdr:rowOff>
    </xdr:from>
    <xdr:to>
      <xdr:col>6</xdr:col>
      <xdr:colOff>139064</xdr:colOff>
      <xdr:row>1</xdr:row>
      <xdr:rowOff>266699</xdr:rowOff>
    </xdr:to>
    <xdr:sp macro="[0]!Control_Change">
      <xdr:nvSpPr>
        <xdr:cNvPr id="28" name="tab1_2"/>
        <xdr:cNvSpPr txBox="1"/>
      </xdr:nvSpPr>
      <xdr:spPr>
        <a:xfrm>
          <a:off x="2762885" y="342265"/>
          <a:ext cx="166179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CITY PROFILE</a:t>
          </a:r>
          <a:endParaRPr lang="en-GB" sz="1200" b="1">
            <a:solidFill>
              <a:srgbClr val="808080"/>
            </a:solidFill>
          </a:endParaRPr>
        </a:p>
      </xdr:txBody>
    </xdr:sp>
    <xdr:clientData fPrintsWithSheet="0"/>
  </xdr:twoCellAnchor>
  <xdr:twoCellAnchor editAs="absolute">
    <xdr:from>
      <xdr:col>8</xdr:col>
      <xdr:colOff>415289</xdr:colOff>
      <xdr:row>1</xdr:row>
      <xdr:rowOff>0</xdr:rowOff>
    </xdr:from>
    <xdr:to>
      <xdr:col>10</xdr:col>
      <xdr:colOff>501649</xdr:colOff>
      <xdr:row>2</xdr:row>
      <xdr:rowOff>0</xdr:rowOff>
    </xdr:to>
    <xdr:sp macro="[0]!Control_Change">
      <xdr:nvSpPr>
        <xdr:cNvPr id="14" name="tab1_4"/>
        <xdr:cNvSpPr txBox="1"/>
      </xdr:nvSpPr>
      <xdr:spPr>
        <a:xfrm>
          <a:off x="5901055" y="342900"/>
          <a:ext cx="128651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SCATTERPLOT</a:t>
          </a:r>
          <a:endParaRPr lang="en-GB" sz="1200" b="1">
            <a:solidFill>
              <a:srgbClr val="808080"/>
            </a:solidFill>
          </a:endParaRPr>
        </a:p>
      </xdr:txBody>
    </xdr:sp>
    <xdr:clientData fPrintsWithSheet="0"/>
  </xdr:twoCellAnchor>
  <xdr:twoCellAnchor editAs="absolute">
    <xdr:from>
      <xdr:col>10</xdr:col>
      <xdr:colOff>515618</xdr:colOff>
      <xdr:row>1</xdr:row>
      <xdr:rowOff>0</xdr:rowOff>
    </xdr:from>
    <xdr:to>
      <xdr:col>12</xdr:col>
      <xdr:colOff>144778</xdr:colOff>
      <xdr:row>2</xdr:row>
      <xdr:rowOff>0</xdr:rowOff>
    </xdr:to>
    <xdr:sp macro="[0]!Control_Change">
      <xdr:nvSpPr>
        <xdr:cNvPr id="16" name="tab1_6"/>
        <xdr:cNvSpPr txBox="1"/>
      </xdr:nvSpPr>
      <xdr:spPr>
        <a:xfrm>
          <a:off x="7201535" y="342900"/>
          <a:ext cx="82931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chemeClr val="bg1">
                  <a:lumMod val="50000"/>
                </a:schemeClr>
              </a:solidFill>
            </a:rPr>
            <a:t>SCORES</a:t>
          </a:r>
          <a:endParaRPr lang="en-GB" sz="1200" b="1">
            <a:solidFill>
              <a:schemeClr val="bg1">
                <a:lumMod val="50000"/>
              </a:schemeClr>
            </a:solidFill>
          </a:endParaRPr>
        </a:p>
      </xdr:txBody>
    </xdr:sp>
    <xdr:clientData fPrintsWithSheet="0"/>
  </xdr:twoCellAnchor>
  <xdr:twoCellAnchor editAs="absolute">
    <xdr:from>
      <xdr:col>12</xdr:col>
      <xdr:colOff>173353</xdr:colOff>
      <xdr:row>1</xdr:row>
      <xdr:rowOff>0</xdr:rowOff>
    </xdr:from>
    <xdr:to>
      <xdr:col>13</xdr:col>
      <xdr:colOff>549272</xdr:colOff>
      <xdr:row>2</xdr:row>
      <xdr:rowOff>0</xdr:rowOff>
    </xdr:to>
    <xdr:sp macro="[0]!Control_Change">
      <xdr:nvSpPr>
        <xdr:cNvPr id="17" name="tab1_7"/>
        <xdr:cNvSpPr txBox="1"/>
      </xdr:nvSpPr>
      <xdr:spPr>
        <a:xfrm>
          <a:off x="8059420" y="342900"/>
          <a:ext cx="975995" cy="2667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chemeClr val="accent1"/>
              </a:solidFill>
            </a:rPr>
            <a:t>WEIGHTS</a:t>
          </a:r>
          <a:endParaRPr lang="en-GB" sz="1200" b="1">
            <a:solidFill>
              <a:schemeClr val="accent1"/>
            </a:solidFill>
          </a:endParaRPr>
        </a:p>
      </xdr:txBody>
    </xdr:sp>
    <xdr:clientData fPrintsWithSheet="0"/>
  </xdr:twoCellAnchor>
  <xdr:twoCellAnchor editAs="absolute">
    <xdr:from>
      <xdr:col>6</xdr:col>
      <xdr:colOff>19050</xdr:colOff>
      <xdr:row>1</xdr:row>
      <xdr:rowOff>1</xdr:rowOff>
    </xdr:from>
    <xdr:to>
      <xdr:col>8</xdr:col>
      <xdr:colOff>457200</xdr:colOff>
      <xdr:row>2</xdr:row>
      <xdr:rowOff>1</xdr:rowOff>
    </xdr:to>
    <xdr:sp macro="[0]!Control_Change">
      <xdr:nvSpPr>
        <xdr:cNvPr id="18" name="tab1_3"/>
        <xdr:cNvSpPr txBox="1"/>
      </xdr:nvSpPr>
      <xdr:spPr>
        <a:xfrm>
          <a:off x="4305300" y="342900"/>
          <a:ext cx="16383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CITY COMPARISON</a:t>
          </a:r>
          <a:endParaRPr lang="en-GB" sz="1200" b="1">
            <a:solidFill>
              <a:srgbClr val="808080"/>
            </a:solidFill>
          </a:endParaRPr>
        </a:p>
      </xdr:txBody>
    </xdr:sp>
    <xdr:clientData fPrintsWithSheet="0"/>
  </xdr:twoCellAnchor>
  <xdr:twoCellAnchor editAs="oneCell">
    <xdr:from>
      <xdr:col>0</xdr:col>
      <xdr:colOff>104775</xdr:colOff>
      <xdr:row>0</xdr:row>
      <xdr:rowOff>38100</xdr:rowOff>
    </xdr:from>
    <xdr:to>
      <xdr:col>4</xdr:col>
      <xdr:colOff>1110918</xdr:colOff>
      <xdr:row>1</xdr:row>
      <xdr:rowOff>6225</xdr:rowOff>
    </xdr:to>
    <xdr:pic>
      <xdr:nvPicPr>
        <xdr:cNvPr id="13" name="Picture 12" descr="eiulogo">
          <a:hlinkClick xmlns:r="http://schemas.openxmlformats.org/officeDocument/2006/relationships" r:id="rId2"/>
        </xdr:cNvPr>
        <xdr:cNvPicPr>
          <a:picLocks noChangeAspect="1" noChangeArrowheads="1"/>
        </xdr:cNvPicPr>
      </xdr:nvPicPr>
      <xdr:blipFill>
        <a:blip r:embed="rId3" cstate="print"/>
        <a:srcRect/>
        <a:stretch>
          <a:fillRect/>
        </a:stretch>
      </xdr:blipFill>
      <xdr:spPr>
        <a:xfrm>
          <a:off x="104775" y="38100"/>
          <a:ext cx="1263015" cy="31051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3</xdr:col>
          <xdr:colOff>323850</xdr:colOff>
          <xdr:row>2</xdr:row>
          <xdr:rowOff>133350</xdr:rowOff>
        </xdr:from>
        <xdr:to>
          <xdr:col>5</xdr:col>
          <xdr:colOff>485775</xdr:colOff>
          <xdr:row>2</xdr:row>
          <xdr:rowOff>361950</xdr:rowOff>
        </xdr:to>
        <xdr:sp macro="[0]!LoadWeights">
          <xdr:nvSpPr>
            <xdr:cNvPr id="595969" name="Drop Down 1" hidden="1">
              <a:extLst>
                <a:ext uri="{63B3BB69-23CF-44E3-9099-C40C66FF867C}">
                  <a14:compatExt spid="_x0000_s595969"/>
                </a:ext>
              </a:extLst>
            </xdr:cNvPr>
            <xdr:cNvSpPr/>
          </xdr:nvSpPr>
          <xdr:spPr>
            <a:xfrm>
              <a:off x="257175" y="742950"/>
              <a:ext cx="3914775" cy="228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104775</xdr:rowOff>
        </xdr:from>
        <xdr:to>
          <xdr:col>9</xdr:col>
          <xdr:colOff>476250</xdr:colOff>
          <xdr:row>2</xdr:row>
          <xdr:rowOff>381000</xdr:rowOff>
        </xdr:to>
        <xdr:sp macro="[0]!SaveWeightForm">
          <xdr:nvSpPr>
            <xdr:cNvPr id="595970" name="Button 2" hidden="1">
              <a:extLst>
                <a:ext uri="{63B3BB69-23CF-44E3-9099-C40C66FF867C}">
                  <a14:compatExt spid="_x0000_s595970"/>
                </a:ext>
              </a:extLst>
            </xdr:cNvPr>
            <xdr:cNvSpPr/>
          </xdr:nvSpPr>
          <xdr:spPr>
            <a:xfrm>
              <a:off x="5486400" y="714375"/>
              <a:ext cx="1076325" cy="276225"/>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panose="020F0502020204030204"/>
                </a:rPr>
                <a:t>SAVE WEIGHTS</a:t>
              </a:r>
              <a:endParaRPr lang="en-US" sz="1100" b="0" i="0" u="none" strike="noStrike" baseline="0">
                <a:solidFill>
                  <a:srgbClr val="000000"/>
                </a:solidFill>
                <a:latin typeface="Calibri" panose="020F0502020204030204"/>
              </a:endParaRPr>
            </a:p>
          </xdr:txBody>
        </xdr:sp>
        <xdr:clientData fPrintsWithSheet="0"/>
      </xdr:twoCellAnchor>
    </mc:Choice>
    <mc:Fallback/>
  </mc:AlternateContent>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1</xdr:row>
      <xdr:rowOff>1</xdr:rowOff>
    </xdr:from>
    <xdr:to>
      <xdr:col>6</xdr:col>
      <xdr:colOff>0</xdr:colOff>
      <xdr:row>2</xdr:row>
      <xdr:rowOff>0</xdr:rowOff>
    </xdr:to>
    <xdr:sp>
      <xdr:nvSpPr>
        <xdr:cNvPr id="3" name="title"/>
        <xdr:cNvSpPr txBox="1"/>
      </xdr:nvSpPr>
      <xdr:spPr>
        <a:xfrm>
          <a:off x="0" y="352425"/>
          <a:ext cx="9334500"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0">
            <a:defRPr sz="1000"/>
          </a:pPr>
          <a:r>
            <a:rPr lang="en-US" sz="2800" b="0" i="0" u="none" strike="noStrike" baseline="0">
              <a:solidFill>
                <a:srgbClr val="000000"/>
              </a:solidFill>
              <a:latin typeface="Calibri" panose="020F0502020204030204"/>
            </a:rPr>
            <a:t>Safe Cities Index 2015</a:t>
          </a:r>
          <a:endParaRPr lang="en-US" sz="2800" b="0" i="0" u="none" strike="noStrike" baseline="0">
            <a:solidFill>
              <a:srgbClr val="000000"/>
            </a:solidFill>
            <a:latin typeface="Calibri" panose="020F0502020204030204"/>
          </a:endParaRPr>
        </a:p>
      </xdr:txBody>
    </xdr:sp>
    <xdr:clientData/>
  </xdr:twoCellAnchor>
  <xdr:twoCellAnchor editAs="oneCell">
    <xdr:from>
      <xdr:col>2</xdr:col>
      <xdr:colOff>1885951</xdr:colOff>
      <xdr:row>3</xdr:row>
      <xdr:rowOff>34105</xdr:rowOff>
    </xdr:from>
    <xdr:to>
      <xdr:col>4</xdr:col>
      <xdr:colOff>1371600</xdr:colOff>
      <xdr:row>7</xdr:row>
      <xdr:rowOff>194495</xdr:rowOff>
    </xdr:to>
    <xdr:pic>
      <xdr:nvPicPr>
        <xdr:cNvPr id="7" name="Picture 1" descr="eiulogo">
          <a:hlinkClick xmlns:r="http://schemas.openxmlformats.org/officeDocument/2006/relationships" r:id="rId1"/>
        </xdr:cNvPr>
        <xdr:cNvPicPr>
          <a:picLocks noChangeAspect="1" noChangeArrowheads="1"/>
        </xdr:cNvPicPr>
      </xdr:nvPicPr>
      <xdr:blipFill>
        <a:blip r:embed="rId2" cstate="print"/>
        <a:srcRect/>
        <a:stretch>
          <a:fillRect/>
        </a:stretch>
      </xdr:blipFill>
      <xdr:spPr>
        <a:xfrm>
          <a:off x="2743200" y="1005205"/>
          <a:ext cx="3762375" cy="922655"/>
        </a:xfrm>
        <a:prstGeom prst="rect">
          <a:avLst/>
        </a:prstGeom>
        <a:noFill/>
        <a:ln w="9525">
          <a:noFill/>
          <a:miter lim="800000"/>
          <a:headEnd/>
          <a:tailEnd/>
        </a:ln>
      </xdr:spPr>
    </xdr:pic>
    <xdr:clientData/>
  </xdr:twoCellAnchor>
  <xdr:twoCellAnchor>
    <xdr:from>
      <xdr:col>2</xdr:col>
      <xdr:colOff>0</xdr:colOff>
      <xdr:row>12</xdr:row>
      <xdr:rowOff>38100</xdr:rowOff>
    </xdr:from>
    <xdr:to>
      <xdr:col>2</xdr:col>
      <xdr:colOff>2647950</xdr:colOff>
      <xdr:row>13</xdr:row>
      <xdr:rowOff>0</xdr:rowOff>
    </xdr:to>
    <xdr:sp macro="[0]!Control_Change">
      <xdr:nvSpPr>
        <xdr:cNvPr id="9" name="tab1_1"/>
        <xdr:cNvSpPr txBox="1"/>
      </xdr:nvSpPr>
      <xdr:spPr>
        <a:xfrm>
          <a:off x="857250" y="4438650"/>
          <a:ext cx="26479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0" rtlCol="0" anchor="t"/>
        <a:lstStyle/>
        <a:p>
          <a:pPr algn="l" rtl="0">
            <a:defRPr sz="1000"/>
          </a:pPr>
          <a:r>
            <a:rPr lang="en-GB" sz="1400" b="1" i="0" u="sng" strike="noStrike" baseline="0">
              <a:solidFill>
                <a:srgbClr val="0070C0"/>
              </a:solidFill>
              <a:latin typeface="Calibri" panose="020F0502020204030204"/>
            </a:rPr>
            <a:t>Indicator Ranks</a:t>
          </a:r>
          <a:endParaRPr lang="en-GB" sz="1400" b="1" i="0" u="sng" strike="noStrike" baseline="0">
            <a:solidFill>
              <a:srgbClr val="0070C0"/>
            </a:solidFill>
            <a:latin typeface="Calibri" panose="020F0502020204030204"/>
          </a:endParaRPr>
        </a:p>
      </xdr:txBody>
    </xdr:sp>
    <xdr:clientData fPrintsWithSheet="0"/>
  </xdr:twoCellAnchor>
  <xdr:twoCellAnchor>
    <xdr:from>
      <xdr:col>2</xdr:col>
      <xdr:colOff>0</xdr:colOff>
      <xdr:row>10</xdr:row>
      <xdr:rowOff>0</xdr:rowOff>
    </xdr:from>
    <xdr:to>
      <xdr:col>2</xdr:col>
      <xdr:colOff>2647950</xdr:colOff>
      <xdr:row>10</xdr:row>
      <xdr:rowOff>266700</xdr:rowOff>
    </xdr:to>
    <xdr:sp macro="[0]!Control_Change">
      <xdr:nvSpPr>
        <xdr:cNvPr id="10" name="tab1_0"/>
        <xdr:cNvSpPr txBox="1"/>
      </xdr:nvSpPr>
      <xdr:spPr>
        <a:xfrm>
          <a:off x="857250" y="3724275"/>
          <a:ext cx="26479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0" rtlCol="0" anchor="t"/>
        <a:lstStyle/>
        <a:p>
          <a:pPr algn="l" rtl="0">
            <a:defRPr sz="1000"/>
          </a:pPr>
          <a:r>
            <a:rPr lang="en-GB" sz="1400" b="1" i="0" u="sng" strike="noStrike" baseline="0">
              <a:solidFill>
                <a:srgbClr val="0070C0"/>
              </a:solidFill>
              <a:latin typeface="Calibri" panose="020F0502020204030204"/>
            </a:rPr>
            <a:t>Summary</a:t>
          </a:r>
          <a:endParaRPr lang="en-GB" sz="1400" b="1" i="0" u="sng" strike="noStrike" baseline="0">
            <a:solidFill>
              <a:srgbClr val="0070C0"/>
            </a:solidFill>
            <a:latin typeface="Calibri" panose="020F0502020204030204"/>
          </a:endParaRPr>
        </a:p>
      </xdr:txBody>
    </xdr:sp>
    <xdr:clientData fPrintsWithSheet="0"/>
  </xdr:twoCellAnchor>
  <xdr:twoCellAnchor>
    <xdr:from>
      <xdr:col>4</xdr:col>
      <xdr:colOff>0</xdr:colOff>
      <xdr:row>12</xdr:row>
      <xdr:rowOff>0</xdr:rowOff>
    </xdr:from>
    <xdr:to>
      <xdr:col>4</xdr:col>
      <xdr:colOff>2647950</xdr:colOff>
      <xdr:row>12</xdr:row>
      <xdr:rowOff>266700</xdr:rowOff>
    </xdr:to>
    <xdr:sp macro="[0]!Control_Change">
      <xdr:nvSpPr>
        <xdr:cNvPr id="12" name="tab1_6"/>
        <xdr:cNvSpPr txBox="1"/>
      </xdr:nvSpPr>
      <xdr:spPr>
        <a:xfrm>
          <a:off x="5133975" y="4400550"/>
          <a:ext cx="26479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0" rtlCol="0" anchor="t"/>
        <a:lstStyle/>
        <a:p>
          <a:pPr algn="l" rtl="0">
            <a:defRPr sz="1000"/>
          </a:pPr>
          <a:r>
            <a:rPr lang="en-GB" sz="1400" b="1" i="0" u="sng" strike="noStrike" baseline="0">
              <a:solidFill>
                <a:srgbClr val="0070C0"/>
              </a:solidFill>
              <a:latin typeface="Calibri" panose="020F0502020204030204"/>
            </a:rPr>
            <a:t>Score table</a:t>
          </a:r>
          <a:endParaRPr lang="en-GB" sz="1400" b="1" i="0" u="sng" strike="noStrike" baseline="0">
            <a:solidFill>
              <a:srgbClr val="0070C0"/>
            </a:solidFill>
            <a:latin typeface="Calibri" panose="020F0502020204030204"/>
          </a:endParaRPr>
        </a:p>
      </xdr:txBody>
    </xdr:sp>
    <xdr:clientData fPrintsWithSheet="0"/>
  </xdr:twoCellAnchor>
  <xdr:twoCellAnchor>
    <xdr:from>
      <xdr:col>2</xdr:col>
      <xdr:colOff>0</xdr:colOff>
      <xdr:row>14</xdr:row>
      <xdr:rowOff>1</xdr:rowOff>
    </xdr:from>
    <xdr:to>
      <xdr:col>2</xdr:col>
      <xdr:colOff>2647950</xdr:colOff>
      <xdr:row>15</xdr:row>
      <xdr:rowOff>1</xdr:rowOff>
    </xdr:to>
    <xdr:sp macro="[0]!Control_Change">
      <xdr:nvSpPr>
        <xdr:cNvPr id="13" name="tab1_2"/>
        <xdr:cNvSpPr txBox="1"/>
      </xdr:nvSpPr>
      <xdr:spPr>
        <a:xfrm>
          <a:off x="857250" y="5076825"/>
          <a:ext cx="26479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0" rtlCol="0" anchor="t"/>
        <a:lstStyle/>
        <a:p>
          <a:pPr algn="l" rtl="0">
            <a:defRPr sz="1000"/>
          </a:pPr>
          <a:r>
            <a:rPr lang="en-GB" sz="1400" b="1" i="0" u="sng" strike="noStrike" baseline="0">
              <a:solidFill>
                <a:srgbClr val="0070C0"/>
              </a:solidFill>
              <a:latin typeface="Calibri" panose="020F0502020204030204"/>
            </a:rPr>
            <a:t>City Profile</a:t>
          </a:r>
          <a:endParaRPr lang="en-GB" sz="1400" b="1" i="0" u="sng" strike="noStrike" baseline="0">
            <a:solidFill>
              <a:srgbClr val="0070C0"/>
            </a:solidFill>
            <a:latin typeface="Calibri" panose="020F0502020204030204"/>
          </a:endParaRPr>
        </a:p>
      </xdr:txBody>
    </xdr:sp>
    <xdr:clientData fPrintsWithSheet="0"/>
  </xdr:twoCellAnchor>
  <xdr:twoCellAnchor>
    <xdr:from>
      <xdr:col>2</xdr:col>
      <xdr:colOff>0</xdr:colOff>
      <xdr:row>16</xdr:row>
      <xdr:rowOff>0</xdr:rowOff>
    </xdr:from>
    <xdr:to>
      <xdr:col>2</xdr:col>
      <xdr:colOff>2647950</xdr:colOff>
      <xdr:row>17</xdr:row>
      <xdr:rowOff>0</xdr:rowOff>
    </xdr:to>
    <xdr:sp macro="[0]!Control_Change">
      <xdr:nvSpPr>
        <xdr:cNvPr id="14" name="tab1_3"/>
        <xdr:cNvSpPr txBox="1"/>
      </xdr:nvSpPr>
      <xdr:spPr>
        <a:xfrm>
          <a:off x="857250" y="5819775"/>
          <a:ext cx="26479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0" rtlCol="0" anchor="t"/>
        <a:lstStyle/>
        <a:p>
          <a:pPr algn="l" rtl="0">
            <a:defRPr sz="1000"/>
          </a:pPr>
          <a:r>
            <a:rPr lang="en-GB" sz="1400" b="1" i="0" u="sng" strike="noStrike" baseline="0">
              <a:solidFill>
                <a:srgbClr val="0070C0"/>
              </a:solidFill>
              <a:latin typeface="Calibri" panose="020F0502020204030204"/>
            </a:rPr>
            <a:t>City Comparison</a:t>
          </a:r>
          <a:endParaRPr lang="en-GB" sz="1400" b="1" i="0" u="sng" strike="noStrike" baseline="0">
            <a:solidFill>
              <a:srgbClr val="0070C0"/>
            </a:solidFill>
            <a:latin typeface="Calibri" panose="020F0502020204030204"/>
          </a:endParaRPr>
        </a:p>
      </xdr:txBody>
    </xdr:sp>
    <xdr:clientData fPrintsWithSheet="0"/>
  </xdr:twoCellAnchor>
  <xdr:twoCellAnchor>
    <xdr:from>
      <xdr:col>4</xdr:col>
      <xdr:colOff>0</xdr:colOff>
      <xdr:row>14</xdr:row>
      <xdr:rowOff>1</xdr:rowOff>
    </xdr:from>
    <xdr:to>
      <xdr:col>4</xdr:col>
      <xdr:colOff>2647950</xdr:colOff>
      <xdr:row>15</xdr:row>
      <xdr:rowOff>1</xdr:rowOff>
    </xdr:to>
    <xdr:sp macro="[0]!Control_Change">
      <xdr:nvSpPr>
        <xdr:cNvPr id="16" name="tab1_7"/>
        <xdr:cNvSpPr txBox="1"/>
      </xdr:nvSpPr>
      <xdr:spPr>
        <a:xfrm>
          <a:off x="5133975" y="5076825"/>
          <a:ext cx="26479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0" rtlCol="0" anchor="t"/>
        <a:lstStyle/>
        <a:p>
          <a:pPr algn="l" rtl="0">
            <a:defRPr sz="1000"/>
          </a:pPr>
          <a:r>
            <a:rPr lang="en-GB" sz="1400" b="1" i="0" u="sng" strike="noStrike" baseline="0">
              <a:solidFill>
                <a:srgbClr val="0070C0"/>
              </a:solidFill>
              <a:latin typeface="Calibri" panose="020F0502020204030204"/>
            </a:rPr>
            <a:t>Weights</a:t>
          </a:r>
          <a:endParaRPr lang="en-GB" sz="1400" b="1" i="0" u="sng" strike="noStrike" baseline="0">
            <a:solidFill>
              <a:srgbClr val="0070C0"/>
            </a:solidFill>
            <a:latin typeface="Calibri" panose="020F0502020204030204"/>
          </a:endParaRPr>
        </a:p>
      </xdr:txBody>
    </xdr:sp>
    <xdr:clientData fPrintsWithSheet="0"/>
  </xdr:twoCellAnchor>
  <xdr:twoCellAnchor>
    <xdr:from>
      <xdr:col>4</xdr:col>
      <xdr:colOff>0</xdr:colOff>
      <xdr:row>10</xdr:row>
      <xdr:rowOff>0</xdr:rowOff>
    </xdr:from>
    <xdr:to>
      <xdr:col>4</xdr:col>
      <xdr:colOff>2647950</xdr:colOff>
      <xdr:row>11</xdr:row>
      <xdr:rowOff>0</xdr:rowOff>
    </xdr:to>
    <xdr:sp macro="[0]!Control_Change">
      <xdr:nvSpPr>
        <xdr:cNvPr id="20" name="tab1_4"/>
        <xdr:cNvSpPr txBox="1"/>
      </xdr:nvSpPr>
      <xdr:spPr>
        <a:xfrm>
          <a:off x="5133975" y="3724275"/>
          <a:ext cx="26479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0" rtlCol="0" anchor="t"/>
        <a:lstStyle/>
        <a:p>
          <a:pPr algn="l" rtl="0">
            <a:defRPr sz="1000"/>
          </a:pPr>
          <a:r>
            <a:rPr lang="en-GB" sz="1400" b="1" i="0" u="sng" strike="noStrike" baseline="0">
              <a:solidFill>
                <a:srgbClr val="0070C0"/>
              </a:solidFill>
              <a:latin typeface="Calibri" panose="020F0502020204030204"/>
            </a:rPr>
            <a:t>Scatter Plot</a:t>
          </a:r>
          <a:endParaRPr lang="en-GB" sz="1400" b="1" i="0" u="sng" strike="noStrike" baseline="0">
            <a:solidFill>
              <a:srgbClr val="0070C0"/>
            </a:solidFill>
            <a:latin typeface="Calibri" panose="020F0502020204030204"/>
          </a:endParaRPr>
        </a:p>
      </xdr:txBody>
    </xdr:sp>
    <xdr:clientData fPrintsWithSheet="0"/>
  </xdr:twoCellAnchor>
  <xdr:twoCellAnchor editAs="oneCell">
    <xdr:from>
      <xdr:col>4</xdr:col>
      <xdr:colOff>66675</xdr:colOff>
      <xdr:row>18</xdr:row>
      <xdr:rowOff>51611</xdr:rowOff>
    </xdr:from>
    <xdr:to>
      <xdr:col>4</xdr:col>
      <xdr:colOff>2314575</xdr:colOff>
      <xdr:row>24</xdr:row>
      <xdr:rowOff>24589</xdr:rowOff>
    </xdr:to>
    <xdr:pic>
      <xdr:nvPicPr>
        <xdr:cNvPr id="4" name="Picture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5200650" y="6547485"/>
          <a:ext cx="2247900" cy="111569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absolute">
    <xdr:from>
      <xdr:col>23</xdr:col>
      <xdr:colOff>1139825</xdr:colOff>
      <xdr:row>0</xdr:row>
      <xdr:rowOff>82550</xdr:rowOff>
    </xdr:from>
    <xdr:to>
      <xdr:col>24</xdr:col>
      <xdr:colOff>206375</xdr:colOff>
      <xdr:row>1</xdr:row>
      <xdr:rowOff>149225</xdr:rowOff>
    </xdr:to>
    <xdr:pic macro="[0]!Control_Change">
      <xdr:nvPicPr>
        <xdr:cNvPr id="27" name="pdf" descr="1372801245_pdf.png"/>
        <xdr:cNvPicPr>
          <a:picLocks noChangeAspect="1"/>
        </xdr:cNvPicPr>
      </xdr:nvPicPr>
      <xdr:blipFill>
        <a:blip r:embed="rId1" cstate="print"/>
        <a:srcRect/>
        <a:stretch>
          <a:fillRect/>
        </a:stretch>
      </xdr:blipFill>
      <xdr:spPr>
        <a:xfrm>
          <a:off x="10817225" y="82550"/>
          <a:ext cx="438150" cy="438150"/>
        </a:xfrm>
        <a:prstGeom prst="rect">
          <a:avLst/>
        </a:prstGeom>
        <a:noFill/>
        <a:ln w="9525">
          <a:noFill/>
          <a:miter lim="800000"/>
          <a:headEnd/>
          <a:tailEnd/>
        </a:ln>
      </xdr:spPr>
    </xdr:pic>
    <xdr:clientData fPrintsWithSheet="0"/>
  </xdr:twoCellAnchor>
  <xdr:twoCellAnchor editAs="absolute">
    <xdr:from>
      <xdr:col>0</xdr:col>
      <xdr:colOff>0</xdr:colOff>
      <xdr:row>1</xdr:row>
      <xdr:rowOff>238124</xdr:rowOff>
    </xdr:from>
    <xdr:to>
      <xdr:col>24</xdr:col>
      <xdr:colOff>200025</xdr:colOff>
      <xdr:row>2</xdr:row>
      <xdr:rowOff>447674</xdr:rowOff>
    </xdr:to>
    <xdr:sp>
      <xdr:nvSpPr>
        <xdr:cNvPr id="28" name="nav_controls"/>
        <xdr:cNvSpPr/>
      </xdr:nvSpPr>
      <xdr:spPr>
        <a:xfrm>
          <a:off x="0" y="608965"/>
          <a:ext cx="11249025" cy="476250"/>
        </a:xfrm>
        <a:prstGeom prst="rect">
          <a:avLst/>
        </a:prstGeom>
        <a:solidFill>
          <a:srgbClr val="F0F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editAs="absolute">
    <xdr:from>
      <xdr:col>0</xdr:col>
      <xdr:colOff>0</xdr:colOff>
      <xdr:row>0</xdr:row>
      <xdr:rowOff>342899</xdr:rowOff>
    </xdr:from>
    <xdr:to>
      <xdr:col>3</xdr:col>
      <xdr:colOff>486410</xdr:colOff>
      <xdr:row>1</xdr:row>
      <xdr:rowOff>238124</xdr:rowOff>
    </xdr:to>
    <xdr:sp macro="[0]!Control_Change">
      <xdr:nvSpPr>
        <xdr:cNvPr id="29" name="tab1_0"/>
        <xdr:cNvSpPr txBox="1"/>
      </xdr:nvSpPr>
      <xdr:spPr>
        <a:xfrm>
          <a:off x="0" y="342265"/>
          <a:ext cx="1076960" cy="266700"/>
        </a:xfrm>
        <a:prstGeom prst="rect">
          <a:avLst/>
        </a:prstGeom>
        <a:solidFill>
          <a:srgbClr val="F0F0F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005E9E"/>
              </a:solidFill>
            </a:rPr>
            <a:t>SUMMARY</a:t>
          </a:r>
          <a:endParaRPr lang="en-GB" sz="1200" b="1">
            <a:solidFill>
              <a:srgbClr val="005E9E"/>
            </a:solidFill>
          </a:endParaRPr>
        </a:p>
      </xdr:txBody>
    </xdr:sp>
    <xdr:clientData fPrintsWithSheet="0"/>
  </xdr:twoCellAnchor>
  <xdr:twoCellAnchor editAs="absolute">
    <xdr:from>
      <xdr:col>3</xdr:col>
      <xdr:colOff>486409</xdr:colOff>
      <xdr:row>0</xdr:row>
      <xdr:rowOff>342899</xdr:rowOff>
    </xdr:from>
    <xdr:to>
      <xdr:col>7</xdr:col>
      <xdr:colOff>172719</xdr:colOff>
      <xdr:row>1</xdr:row>
      <xdr:rowOff>238124</xdr:rowOff>
    </xdr:to>
    <xdr:sp macro="[0]!Control_Change">
      <xdr:nvSpPr>
        <xdr:cNvPr id="30" name="tab1_1"/>
        <xdr:cNvSpPr txBox="1"/>
      </xdr:nvSpPr>
      <xdr:spPr>
        <a:xfrm>
          <a:off x="1076325" y="342265"/>
          <a:ext cx="168656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INDICATOR RANKS</a:t>
          </a:r>
          <a:endParaRPr lang="en-GB" sz="1200" b="1">
            <a:solidFill>
              <a:srgbClr val="808080"/>
            </a:solidFill>
          </a:endParaRPr>
        </a:p>
      </xdr:txBody>
    </xdr:sp>
    <xdr:clientData fPrintsWithSheet="0"/>
  </xdr:twoCellAnchor>
  <xdr:twoCellAnchor editAs="absolute">
    <xdr:from>
      <xdr:col>7</xdr:col>
      <xdr:colOff>172719</xdr:colOff>
      <xdr:row>0</xdr:row>
      <xdr:rowOff>342899</xdr:rowOff>
    </xdr:from>
    <xdr:to>
      <xdr:col>9</xdr:col>
      <xdr:colOff>224789</xdr:colOff>
      <xdr:row>1</xdr:row>
      <xdr:rowOff>238124</xdr:rowOff>
    </xdr:to>
    <xdr:sp macro="[0]!Control_Change">
      <xdr:nvSpPr>
        <xdr:cNvPr id="31" name="tab1_2"/>
        <xdr:cNvSpPr txBox="1"/>
      </xdr:nvSpPr>
      <xdr:spPr>
        <a:xfrm>
          <a:off x="2762885" y="342265"/>
          <a:ext cx="167132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CITY</a:t>
          </a:r>
          <a:r>
            <a:rPr lang="en-GB" sz="1200" b="1" baseline="0">
              <a:solidFill>
                <a:srgbClr val="808080"/>
              </a:solidFill>
            </a:rPr>
            <a:t> </a:t>
          </a:r>
          <a:r>
            <a:rPr lang="en-GB" sz="1200" b="1">
              <a:solidFill>
                <a:srgbClr val="808080"/>
              </a:solidFill>
            </a:rPr>
            <a:t>PROFILE</a:t>
          </a:r>
          <a:endParaRPr lang="en-GB" sz="1200" b="1">
            <a:solidFill>
              <a:srgbClr val="808080"/>
            </a:solidFill>
          </a:endParaRPr>
        </a:p>
      </xdr:txBody>
    </xdr:sp>
    <xdr:clientData fPrintsWithSheet="0"/>
  </xdr:twoCellAnchor>
  <xdr:twoCellAnchor editAs="absolute">
    <xdr:from>
      <xdr:col>0</xdr:col>
      <xdr:colOff>127000</xdr:colOff>
      <xdr:row>1</xdr:row>
      <xdr:rowOff>238125</xdr:rowOff>
    </xdr:from>
    <xdr:to>
      <xdr:col>3</xdr:col>
      <xdr:colOff>914400</xdr:colOff>
      <xdr:row>2</xdr:row>
      <xdr:rowOff>209550</xdr:rowOff>
    </xdr:to>
    <xdr:sp>
      <xdr:nvSpPr>
        <xdr:cNvPr id="36" name="lbl_cnt_cnt_Country_Highlight"/>
        <xdr:cNvSpPr txBox="1"/>
      </xdr:nvSpPr>
      <xdr:spPr>
        <a:xfrm>
          <a:off x="127000" y="609600"/>
          <a:ext cx="13779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rgbClr val="808080"/>
              </a:solidFill>
            </a:rPr>
            <a:t>HIGHLIGHT CITY 1</a:t>
          </a:r>
          <a:endParaRPr lang="en-GB" sz="1000" b="1">
            <a:solidFill>
              <a:srgbClr val="808080"/>
            </a:solidFill>
          </a:endParaRPr>
        </a:p>
      </xdr:txBody>
    </xdr:sp>
    <xdr:clientData fPrintsWithSheet="0"/>
  </xdr:twoCellAnchor>
  <xdr:twoCellAnchor editAs="absolute">
    <xdr:from>
      <xdr:col>8</xdr:col>
      <xdr:colOff>236219</xdr:colOff>
      <xdr:row>1</xdr:row>
      <xdr:rowOff>238125</xdr:rowOff>
    </xdr:from>
    <xdr:to>
      <xdr:col>8</xdr:col>
      <xdr:colOff>1297938</xdr:colOff>
      <xdr:row>2</xdr:row>
      <xdr:rowOff>209550</xdr:rowOff>
    </xdr:to>
    <xdr:sp>
      <xdr:nvSpPr>
        <xdr:cNvPr id="37" name="lbl_cnt_cnt_highlight_group"/>
        <xdr:cNvSpPr txBox="1"/>
      </xdr:nvSpPr>
      <xdr:spPr>
        <a:xfrm>
          <a:off x="3112135" y="609600"/>
          <a:ext cx="106172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rgbClr val="808080"/>
              </a:solidFill>
            </a:rPr>
            <a:t>HIGHLIGHT GROUP</a:t>
          </a:r>
          <a:endParaRPr lang="en-GB" sz="1000" b="1">
            <a:solidFill>
              <a:srgbClr val="808080"/>
            </a:solidFill>
          </a:endParaRPr>
        </a:p>
      </xdr:txBody>
    </xdr:sp>
    <xdr:clientData fPrintsWithSheet="0"/>
  </xdr:twoCellAnchor>
  <xdr:twoCellAnchor editAs="absolute">
    <xdr:from>
      <xdr:col>13</xdr:col>
      <xdr:colOff>701039</xdr:colOff>
      <xdr:row>0</xdr:row>
      <xdr:rowOff>342900</xdr:rowOff>
    </xdr:from>
    <xdr:to>
      <xdr:col>17</xdr:col>
      <xdr:colOff>57150</xdr:colOff>
      <xdr:row>1</xdr:row>
      <xdr:rowOff>238125</xdr:rowOff>
    </xdr:to>
    <xdr:sp macro="[0]!Control_Change">
      <xdr:nvSpPr>
        <xdr:cNvPr id="14" name="tab1_4"/>
        <xdr:cNvSpPr txBox="1"/>
      </xdr:nvSpPr>
      <xdr:spPr>
        <a:xfrm>
          <a:off x="5862955" y="342900"/>
          <a:ext cx="129984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SCATTERPLOT</a:t>
          </a:r>
          <a:endParaRPr lang="en-GB" sz="1200" b="1">
            <a:solidFill>
              <a:srgbClr val="808080"/>
            </a:solidFill>
          </a:endParaRPr>
        </a:p>
      </xdr:txBody>
    </xdr:sp>
    <xdr:clientData fPrintsWithSheet="0"/>
  </xdr:twoCellAnchor>
  <xdr:twoCellAnchor editAs="absolute">
    <xdr:from>
      <xdr:col>15</xdr:col>
      <xdr:colOff>276225</xdr:colOff>
      <xdr:row>0</xdr:row>
      <xdr:rowOff>342900</xdr:rowOff>
    </xdr:from>
    <xdr:to>
      <xdr:col>18</xdr:col>
      <xdr:colOff>544828</xdr:colOff>
      <xdr:row>1</xdr:row>
      <xdr:rowOff>238125</xdr:rowOff>
    </xdr:to>
    <xdr:sp macro="[0]!Control_Change">
      <xdr:nvSpPr>
        <xdr:cNvPr id="16" name="tab1_6"/>
        <xdr:cNvSpPr txBox="1"/>
      </xdr:nvSpPr>
      <xdr:spPr>
        <a:xfrm>
          <a:off x="7086600" y="342900"/>
          <a:ext cx="84899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SCORES</a:t>
          </a:r>
          <a:endParaRPr lang="en-GB" sz="1200" b="1">
            <a:solidFill>
              <a:srgbClr val="808080"/>
            </a:solidFill>
          </a:endParaRPr>
        </a:p>
      </xdr:txBody>
    </xdr:sp>
    <xdr:clientData fPrintsWithSheet="0"/>
  </xdr:twoCellAnchor>
  <xdr:twoCellAnchor editAs="absolute">
    <xdr:from>
      <xdr:col>18</xdr:col>
      <xdr:colOff>563878</xdr:colOff>
      <xdr:row>0</xdr:row>
      <xdr:rowOff>342900</xdr:rowOff>
    </xdr:from>
    <xdr:to>
      <xdr:col>19</xdr:col>
      <xdr:colOff>209550</xdr:colOff>
      <xdr:row>1</xdr:row>
      <xdr:rowOff>238125</xdr:rowOff>
    </xdr:to>
    <xdr:sp macro="[0]!Control_Change">
      <xdr:nvSpPr>
        <xdr:cNvPr id="17" name="tab1_7"/>
        <xdr:cNvSpPr txBox="1"/>
      </xdr:nvSpPr>
      <xdr:spPr>
        <a:xfrm>
          <a:off x="7954645" y="342900"/>
          <a:ext cx="97980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WEIGHTS</a:t>
          </a:r>
          <a:endParaRPr lang="en-GB" sz="1200" b="1">
            <a:solidFill>
              <a:srgbClr val="808080"/>
            </a:solidFill>
          </a:endParaRPr>
        </a:p>
      </xdr:txBody>
    </xdr:sp>
    <xdr:clientData fPrintsWithSheet="0"/>
  </xdr:twoCellAnchor>
  <xdr:twoCellAnchor editAs="absolute">
    <xdr:from>
      <xdr:col>9</xdr:col>
      <xdr:colOff>95250</xdr:colOff>
      <xdr:row>0</xdr:row>
      <xdr:rowOff>342901</xdr:rowOff>
    </xdr:from>
    <xdr:to>
      <xdr:col>13</xdr:col>
      <xdr:colOff>857250</xdr:colOff>
      <xdr:row>1</xdr:row>
      <xdr:rowOff>238126</xdr:rowOff>
    </xdr:to>
    <xdr:sp macro="[0]!Control_Change">
      <xdr:nvSpPr>
        <xdr:cNvPr id="18" name="tab1_3"/>
        <xdr:cNvSpPr txBox="1"/>
      </xdr:nvSpPr>
      <xdr:spPr>
        <a:xfrm>
          <a:off x="4305300" y="342900"/>
          <a:ext cx="17145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CITY COMPARISON</a:t>
          </a:r>
          <a:endParaRPr lang="en-GB" sz="1200" b="1">
            <a:solidFill>
              <a:srgbClr val="808080"/>
            </a:solidFill>
          </a:endParaRPr>
        </a:p>
      </xdr:txBody>
    </xdr:sp>
    <xdr:clientData fPrintsWithSheet="0"/>
  </xdr:twoCellAnchor>
  <xdr:twoCellAnchor editAs="absolute">
    <xdr:from>
      <xdr:col>3</xdr:col>
      <xdr:colOff>971550</xdr:colOff>
      <xdr:row>1</xdr:row>
      <xdr:rowOff>238125</xdr:rowOff>
    </xdr:from>
    <xdr:to>
      <xdr:col>8</xdr:col>
      <xdr:colOff>28575</xdr:colOff>
      <xdr:row>2</xdr:row>
      <xdr:rowOff>209550</xdr:rowOff>
    </xdr:to>
    <xdr:sp>
      <xdr:nvSpPr>
        <xdr:cNvPr id="20" name="lbl_cnt_cnt_Country_Highlight"/>
        <xdr:cNvSpPr txBox="1"/>
      </xdr:nvSpPr>
      <xdr:spPr>
        <a:xfrm>
          <a:off x="1562100" y="609600"/>
          <a:ext cx="13430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rgbClr val="808080"/>
              </a:solidFill>
            </a:rPr>
            <a:t>HIGHLIGHT CITY 2</a:t>
          </a:r>
          <a:endParaRPr lang="en-GB" sz="1000" b="1">
            <a:solidFill>
              <a:srgbClr val="808080"/>
            </a:solidFill>
          </a:endParaRPr>
        </a:p>
      </xdr:txBody>
    </xdr:sp>
    <xdr:clientData fPrintsWithSheet="0"/>
  </xdr:twoCellAnchor>
  <xdr:twoCellAnchor editAs="absolute">
    <xdr:from>
      <xdr:col>10</xdr:col>
      <xdr:colOff>55244</xdr:colOff>
      <xdr:row>1</xdr:row>
      <xdr:rowOff>238125</xdr:rowOff>
    </xdr:from>
    <xdr:to>
      <xdr:col>13</xdr:col>
      <xdr:colOff>533400</xdr:colOff>
      <xdr:row>2</xdr:row>
      <xdr:rowOff>209550</xdr:rowOff>
    </xdr:to>
    <xdr:sp>
      <xdr:nvSpPr>
        <xdr:cNvPr id="19" name="lbl_cnt_cnt_highlight_group"/>
        <xdr:cNvSpPr txBox="1"/>
      </xdr:nvSpPr>
      <xdr:spPr>
        <a:xfrm>
          <a:off x="4636135" y="609600"/>
          <a:ext cx="105981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rgbClr val="808080"/>
              </a:solidFill>
            </a:rPr>
            <a:t>FILTER GROUP</a:t>
          </a:r>
          <a:endParaRPr lang="en-GB" sz="1000" b="1">
            <a:solidFill>
              <a:srgbClr val="808080"/>
            </a:solidFill>
          </a:endParaRPr>
        </a:p>
      </xdr:txBody>
    </xdr:sp>
    <xdr:clientData fPrintsWithSheet="0"/>
  </xdr:twoCellAnchor>
  <xdr:twoCellAnchor editAs="absolute">
    <xdr:from>
      <xdr:col>13</xdr:col>
      <xdr:colOff>1000125</xdr:colOff>
      <xdr:row>1</xdr:row>
      <xdr:rowOff>228600</xdr:rowOff>
    </xdr:from>
    <xdr:to>
      <xdr:col>17</xdr:col>
      <xdr:colOff>123825</xdr:colOff>
      <xdr:row>2</xdr:row>
      <xdr:rowOff>200025</xdr:rowOff>
    </xdr:to>
    <xdr:sp>
      <xdr:nvSpPr>
        <xdr:cNvPr id="21" name="lbl_cnt_cnt_highlight_group"/>
        <xdr:cNvSpPr txBox="1"/>
      </xdr:nvSpPr>
      <xdr:spPr>
        <a:xfrm>
          <a:off x="6162675" y="600075"/>
          <a:ext cx="10668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rgbClr val="808080"/>
              </a:solidFill>
            </a:rPr>
            <a:t>WEIGHT PROFILE</a:t>
          </a:r>
          <a:endParaRPr lang="en-GB" sz="1000" b="1">
            <a:solidFill>
              <a:srgbClr val="808080"/>
            </a:solidFill>
          </a:endParaRPr>
        </a:p>
      </xdr:txBody>
    </xdr:sp>
    <xdr:clientData fPrintsWithSheet="0"/>
  </xdr:twoCellAnchor>
  <xdr:twoCellAnchor editAs="oneCell">
    <xdr:from>
      <xdr:col>0</xdr:col>
      <xdr:colOff>89233</xdr:colOff>
      <xdr:row>0</xdr:row>
      <xdr:rowOff>47625</xdr:rowOff>
    </xdr:from>
    <xdr:to>
      <xdr:col>3</xdr:col>
      <xdr:colOff>762001</xdr:colOff>
      <xdr:row>0</xdr:row>
      <xdr:rowOff>358650</xdr:rowOff>
    </xdr:to>
    <xdr:pic>
      <xdr:nvPicPr>
        <xdr:cNvPr id="23" name="Picture 1" descr="eiulogo">
          <a:hlinkClick xmlns:r="http://schemas.openxmlformats.org/officeDocument/2006/relationships" r:id="rId2"/>
        </xdr:cNvPr>
        <xdr:cNvPicPr>
          <a:picLocks noChangeAspect="1" noChangeArrowheads="1"/>
        </xdr:cNvPicPr>
      </xdr:nvPicPr>
      <xdr:blipFill>
        <a:blip r:embed="rId3" cstate="print"/>
        <a:srcRect/>
        <a:stretch>
          <a:fillRect/>
        </a:stretch>
      </xdr:blipFill>
      <xdr:spPr>
        <a:xfrm>
          <a:off x="88900" y="47625"/>
          <a:ext cx="1263650" cy="31051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absolute">
        <xdr:from>
          <xdr:col>0</xdr:col>
          <xdr:colOff>123825</xdr:colOff>
          <xdr:row>2</xdr:row>
          <xdr:rowOff>200025</xdr:rowOff>
        </xdr:from>
        <xdr:to>
          <xdr:col>3</xdr:col>
          <xdr:colOff>704850</xdr:colOff>
          <xdr:row>2</xdr:row>
          <xdr:rowOff>400050</xdr:rowOff>
        </xdr:to>
        <xdr:sp macro="[0]!Control_Change">
          <xdr:nvSpPr>
            <xdr:cNvPr id="580646" name="cnt_Country_Highlight" hidden="1">
              <a:extLst>
                <a:ext uri="{63B3BB69-23CF-44E3-9099-C40C66FF867C}">
                  <a14:compatExt spid="_x0000_s580646"/>
                </a:ext>
              </a:extLst>
            </xdr:cNvPr>
            <xdr:cNvSpPr/>
          </xdr:nvSpPr>
          <xdr:spPr>
            <a:xfrm>
              <a:off x="123825" y="838200"/>
              <a:ext cx="1171575" cy="200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228600</xdr:colOff>
          <xdr:row>2</xdr:row>
          <xdr:rowOff>200025</xdr:rowOff>
        </xdr:from>
        <xdr:to>
          <xdr:col>9</xdr:col>
          <xdr:colOff>142875</xdr:colOff>
          <xdr:row>2</xdr:row>
          <xdr:rowOff>409575</xdr:rowOff>
        </xdr:to>
        <xdr:sp macro="[0]!Control_Change">
          <xdr:nvSpPr>
            <xdr:cNvPr id="580647" name="cnt_highlight_group" hidden="1">
              <a:extLst>
                <a:ext uri="{63B3BB69-23CF-44E3-9099-C40C66FF867C}">
                  <a14:compatExt spid="_x0000_s580647"/>
                </a:ext>
              </a:extLst>
            </xdr:cNvPr>
            <xdr:cNvSpPr/>
          </xdr:nvSpPr>
          <xdr:spPr>
            <a:xfrm>
              <a:off x="3105150" y="838200"/>
              <a:ext cx="1247775" cy="2095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981075</xdr:colOff>
          <xdr:row>2</xdr:row>
          <xdr:rowOff>200025</xdr:rowOff>
        </xdr:from>
        <xdr:to>
          <xdr:col>7</xdr:col>
          <xdr:colOff>152400</xdr:colOff>
          <xdr:row>2</xdr:row>
          <xdr:rowOff>400050</xdr:rowOff>
        </xdr:to>
        <xdr:sp>
          <xdr:nvSpPr>
            <xdr:cNvPr id="580649" name="Drop Down 41" hidden="1">
              <a:extLst>
                <a:ext uri="{63B3BB69-23CF-44E3-9099-C40C66FF867C}">
                  <a14:compatExt spid="_x0000_s580649"/>
                </a:ext>
              </a:extLst>
            </xdr:cNvPr>
            <xdr:cNvSpPr/>
          </xdr:nvSpPr>
          <xdr:spPr>
            <a:xfrm>
              <a:off x="1571625" y="838200"/>
              <a:ext cx="1171575" cy="200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247650</xdr:colOff>
          <xdr:row>2</xdr:row>
          <xdr:rowOff>104775</xdr:rowOff>
        </xdr:from>
        <xdr:to>
          <xdr:col>24</xdr:col>
          <xdr:colOff>0</xdr:colOff>
          <xdr:row>2</xdr:row>
          <xdr:rowOff>323850</xdr:rowOff>
        </xdr:to>
        <xdr:sp>
          <xdr:nvSpPr>
            <xdr:cNvPr id="580650" name="Check Box 42" hidden="1">
              <a:extLst>
                <a:ext uri="{63B3BB69-23CF-44E3-9099-C40C66FF867C}">
                  <a14:compatExt spid="_x0000_s580650"/>
                </a:ext>
              </a:extLst>
            </xdr:cNvPr>
            <xdr:cNvSpPr/>
          </xdr:nvSpPr>
          <xdr:spPr>
            <a:xfrm>
              <a:off x="9344025" y="742950"/>
              <a:ext cx="1704975" cy="21907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panose="020B0604030504040204"/>
                  <a:ea typeface="Tahoma" panose="020B0604030504040204"/>
                  <a:cs typeface="Tahoma" panose="020B0604030504040204"/>
                </a:rPr>
                <a:t>Click for Output/Input Ratios</a:t>
              </a:r>
              <a:endParaRPr 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66675</xdr:colOff>
          <xdr:row>2</xdr:row>
          <xdr:rowOff>200025</xdr:rowOff>
        </xdr:from>
        <xdr:to>
          <xdr:col>13</xdr:col>
          <xdr:colOff>733425</xdr:colOff>
          <xdr:row>2</xdr:row>
          <xdr:rowOff>409575</xdr:rowOff>
        </xdr:to>
        <xdr:sp macro="[0]!Control_Change">
          <xdr:nvSpPr>
            <xdr:cNvPr id="580651" name="Drop Down 43" hidden="1">
              <a:extLst>
                <a:ext uri="{63B3BB69-23CF-44E3-9099-C40C66FF867C}">
                  <a14:compatExt spid="_x0000_s580651"/>
                </a:ext>
              </a:extLst>
            </xdr:cNvPr>
            <xdr:cNvSpPr/>
          </xdr:nvSpPr>
          <xdr:spPr>
            <a:xfrm>
              <a:off x="4648200" y="838200"/>
              <a:ext cx="1247775" cy="2095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971550</xdr:colOff>
          <xdr:row>2</xdr:row>
          <xdr:rowOff>180975</xdr:rowOff>
        </xdr:from>
        <xdr:to>
          <xdr:col>18</xdr:col>
          <xdr:colOff>0</xdr:colOff>
          <xdr:row>2</xdr:row>
          <xdr:rowOff>409575</xdr:rowOff>
        </xdr:to>
        <xdr:sp macro="[0]!LoadWeights">
          <xdr:nvSpPr>
            <xdr:cNvPr id="580652" name="Drop Down 44" hidden="1">
              <a:extLst>
                <a:ext uri="{63B3BB69-23CF-44E3-9099-C40C66FF867C}">
                  <a14:compatExt spid="_x0000_s580652"/>
                </a:ext>
              </a:extLst>
            </xdr:cNvPr>
            <xdr:cNvSpPr/>
          </xdr:nvSpPr>
          <xdr:spPr>
            <a:xfrm>
              <a:off x="6134100" y="819150"/>
              <a:ext cx="1257300" cy="228600"/>
            </a:xfrm>
            <a:prstGeom prst="rect">
              <a:avLst/>
            </a:prstGeom>
          </xdr:spPr>
        </xdr:sp>
        <xdr:clientData/>
      </xdr:twoCellAnchor>
    </mc:Choice>
    <mc:Fallback/>
  </mc:AlternateContent>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0</xdr:col>
      <xdr:colOff>380999</xdr:colOff>
      <xdr:row>4</xdr:row>
      <xdr:rowOff>0</xdr:rowOff>
    </xdr:from>
    <xdr:to>
      <xdr:col>9</xdr:col>
      <xdr:colOff>5314949</xdr:colOff>
      <xdr:row>36</xdr:row>
      <xdr:rowOff>0</xdr:rowOff>
    </xdr:to>
    <xdr:sp>
      <xdr:nvSpPr>
        <xdr:cNvPr id="44" name="warn_NoIndicator" hidden="1"/>
        <xdr:cNvSpPr txBox="1"/>
      </xdr:nvSpPr>
      <xdr:spPr>
        <a:xfrm>
          <a:off x="333375" y="1276350"/>
          <a:ext cx="10133965" cy="7096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GB" sz="2400" baseline="0"/>
        </a:p>
        <a:p>
          <a:pPr algn="ctr"/>
          <a:endParaRPr lang="en-GB" sz="2400" baseline="0"/>
        </a:p>
        <a:p>
          <a:pPr algn="ctr"/>
          <a:r>
            <a:rPr lang="en-GB" sz="2400" baseline="0"/>
            <a:t>SELECT AN INDICATOR</a:t>
          </a:r>
          <a:endParaRPr lang="en-GB" sz="2400" baseline="0"/>
        </a:p>
        <a:p>
          <a:endParaRPr lang="en-GB" sz="1100" baseline="0"/>
        </a:p>
        <a:p>
          <a:endParaRPr lang="en-GB" sz="1100"/>
        </a:p>
      </xdr:txBody>
    </xdr:sp>
    <xdr:clientData/>
  </xdr:twoCellAnchor>
  <xdr:twoCellAnchor editAs="absolute">
    <xdr:from>
      <xdr:col>9</xdr:col>
      <xdr:colOff>5654675</xdr:colOff>
      <xdr:row>0</xdr:row>
      <xdr:rowOff>82550</xdr:rowOff>
    </xdr:from>
    <xdr:to>
      <xdr:col>10</xdr:col>
      <xdr:colOff>311150</xdr:colOff>
      <xdr:row>1</xdr:row>
      <xdr:rowOff>177800</xdr:rowOff>
    </xdr:to>
    <xdr:pic macro="[0]!Control_Change">
      <xdr:nvPicPr>
        <xdr:cNvPr id="30" name="pdf" descr="1372801245_pdf.png"/>
        <xdr:cNvPicPr>
          <a:picLocks noChangeAspect="1"/>
        </xdr:cNvPicPr>
      </xdr:nvPicPr>
      <xdr:blipFill>
        <a:blip r:embed="rId1" cstate="print"/>
        <a:srcRect/>
        <a:stretch>
          <a:fillRect/>
        </a:stretch>
      </xdr:blipFill>
      <xdr:spPr>
        <a:xfrm>
          <a:off x="10807700" y="82550"/>
          <a:ext cx="438150" cy="438150"/>
        </a:xfrm>
        <a:prstGeom prst="rect">
          <a:avLst/>
        </a:prstGeom>
        <a:noFill/>
        <a:ln w="9525">
          <a:noFill/>
          <a:miter lim="800000"/>
          <a:headEnd/>
          <a:tailEnd/>
        </a:ln>
      </xdr:spPr>
    </xdr:pic>
    <xdr:clientData fPrintsWithSheet="0"/>
  </xdr:twoCellAnchor>
  <xdr:twoCellAnchor editAs="absolute">
    <xdr:from>
      <xdr:col>0</xdr:col>
      <xdr:colOff>0</xdr:colOff>
      <xdr:row>1</xdr:row>
      <xdr:rowOff>266699</xdr:rowOff>
    </xdr:from>
    <xdr:to>
      <xdr:col>10</xdr:col>
      <xdr:colOff>304800</xdr:colOff>
      <xdr:row>2</xdr:row>
      <xdr:rowOff>476249</xdr:rowOff>
    </xdr:to>
    <xdr:sp>
      <xdr:nvSpPr>
        <xdr:cNvPr id="31" name="nav_controls"/>
        <xdr:cNvSpPr/>
      </xdr:nvSpPr>
      <xdr:spPr>
        <a:xfrm>
          <a:off x="0" y="608965"/>
          <a:ext cx="11239500" cy="476250"/>
        </a:xfrm>
        <a:prstGeom prst="rect">
          <a:avLst/>
        </a:prstGeom>
        <a:solidFill>
          <a:srgbClr val="F0F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editAs="absolute">
    <xdr:from>
      <xdr:col>0</xdr:col>
      <xdr:colOff>0</xdr:colOff>
      <xdr:row>0</xdr:row>
      <xdr:rowOff>342899</xdr:rowOff>
    </xdr:from>
    <xdr:to>
      <xdr:col>3</xdr:col>
      <xdr:colOff>429260</xdr:colOff>
      <xdr:row>1</xdr:row>
      <xdr:rowOff>266699</xdr:rowOff>
    </xdr:to>
    <xdr:sp macro="[0]!Control_Change">
      <xdr:nvSpPr>
        <xdr:cNvPr id="32" name="tab1_0"/>
        <xdr:cNvSpPr txBox="1"/>
      </xdr:nvSpPr>
      <xdr:spPr>
        <a:xfrm>
          <a:off x="0" y="342265"/>
          <a:ext cx="107696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SUMMARY</a:t>
          </a:r>
          <a:endParaRPr lang="en-GB" sz="1200" b="1">
            <a:solidFill>
              <a:srgbClr val="808080"/>
            </a:solidFill>
          </a:endParaRPr>
        </a:p>
      </xdr:txBody>
    </xdr:sp>
    <xdr:clientData fPrintsWithSheet="0"/>
  </xdr:twoCellAnchor>
  <xdr:twoCellAnchor editAs="absolute">
    <xdr:from>
      <xdr:col>3</xdr:col>
      <xdr:colOff>429259</xdr:colOff>
      <xdr:row>0</xdr:row>
      <xdr:rowOff>342899</xdr:rowOff>
    </xdr:from>
    <xdr:to>
      <xdr:col>5</xdr:col>
      <xdr:colOff>972819</xdr:colOff>
      <xdr:row>1</xdr:row>
      <xdr:rowOff>266699</xdr:rowOff>
    </xdr:to>
    <xdr:sp macro="[0]!Control_Change">
      <xdr:nvSpPr>
        <xdr:cNvPr id="33" name="tab1_1"/>
        <xdr:cNvSpPr txBox="1"/>
      </xdr:nvSpPr>
      <xdr:spPr>
        <a:xfrm>
          <a:off x="1076325" y="342265"/>
          <a:ext cx="1686560" cy="266700"/>
        </a:xfrm>
        <a:prstGeom prst="rect">
          <a:avLst/>
        </a:prstGeom>
        <a:solidFill>
          <a:srgbClr val="F0F0F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005E9E"/>
              </a:solidFill>
            </a:rPr>
            <a:t>INDICATOR RANKS</a:t>
          </a:r>
          <a:endParaRPr lang="en-GB" sz="1200" b="1">
            <a:solidFill>
              <a:srgbClr val="005E9E"/>
            </a:solidFill>
          </a:endParaRPr>
        </a:p>
      </xdr:txBody>
    </xdr:sp>
    <xdr:clientData fPrintsWithSheet="0"/>
  </xdr:twoCellAnchor>
  <xdr:twoCellAnchor editAs="absolute">
    <xdr:from>
      <xdr:col>5</xdr:col>
      <xdr:colOff>972819</xdr:colOff>
      <xdr:row>0</xdr:row>
      <xdr:rowOff>342899</xdr:rowOff>
    </xdr:from>
    <xdr:to>
      <xdr:col>8</xdr:col>
      <xdr:colOff>62864</xdr:colOff>
      <xdr:row>1</xdr:row>
      <xdr:rowOff>266699</xdr:rowOff>
    </xdr:to>
    <xdr:sp macro="[0]!Control_Change">
      <xdr:nvSpPr>
        <xdr:cNvPr id="34" name="tab1_2"/>
        <xdr:cNvSpPr txBox="1"/>
      </xdr:nvSpPr>
      <xdr:spPr>
        <a:xfrm>
          <a:off x="2762885" y="342265"/>
          <a:ext cx="167132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CITY PROFILE</a:t>
          </a:r>
          <a:endParaRPr lang="en-GB" sz="1200" b="1">
            <a:solidFill>
              <a:srgbClr val="808080"/>
            </a:solidFill>
          </a:endParaRPr>
        </a:p>
      </xdr:txBody>
    </xdr:sp>
    <xdr:clientData fPrintsWithSheet="0"/>
  </xdr:twoCellAnchor>
  <xdr:twoCellAnchor editAs="absolute">
    <xdr:from>
      <xdr:col>0</xdr:col>
      <xdr:colOff>127000</xdr:colOff>
      <xdr:row>2</xdr:row>
      <xdr:rowOff>0</xdr:rowOff>
    </xdr:from>
    <xdr:to>
      <xdr:col>3</xdr:col>
      <xdr:colOff>554989</xdr:colOff>
      <xdr:row>2</xdr:row>
      <xdr:rowOff>238125</xdr:rowOff>
    </xdr:to>
    <xdr:sp>
      <xdr:nvSpPr>
        <xdr:cNvPr id="39" name="lbl_cnt_cnt_Indicator"/>
        <xdr:cNvSpPr txBox="1"/>
      </xdr:nvSpPr>
      <xdr:spPr>
        <a:xfrm>
          <a:off x="127000" y="609600"/>
          <a:ext cx="107505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rgbClr val="808080"/>
              </a:solidFill>
            </a:rPr>
            <a:t>SELECT INDICATOR</a:t>
          </a:r>
          <a:endParaRPr lang="en-GB" sz="1000" b="1">
            <a:solidFill>
              <a:srgbClr val="808080"/>
            </a:solidFill>
          </a:endParaRPr>
        </a:p>
      </xdr:txBody>
    </xdr:sp>
    <xdr:clientData fPrintsWithSheet="0"/>
  </xdr:twoCellAnchor>
  <xdr:twoCellAnchor editAs="absolute">
    <xdr:from>
      <xdr:col>7</xdr:col>
      <xdr:colOff>415925</xdr:colOff>
      <xdr:row>2</xdr:row>
      <xdr:rowOff>0</xdr:rowOff>
    </xdr:from>
    <xdr:to>
      <xdr:col>9</xdr:col>
      <xdr:colOff>102869</xdr:colOff>
      <xdr:row>2</xdr:row>
      <xdr:rowOff>238125</xdr:rowOff>
    </xdr:to>
    <xdr:sp>
      <xdr:nvSpPr>
        <xdr:cNvPr id="40" name="lbl_cnt_cnt_Country_Highlight"/>
        <xdr:cNvSpPr txBox="1"/>
      </xdr:nvSpPr>
      <xdr:spPr>
        <a:xfrm>
          <a:off x="4054475" y="609600"/>
          <a:ext cx="120078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rgbClr val="808080"/>
              </a:solidFill>
            </a:rPr>
            <a:t>HIGHLIGHT CITY</a:t>
          </a:r>
          <a:endParaRPr lang="en-GB" sz="1000" b="1">
            <a:solidFill>
              <a:srgbClr val="808080"/>
            </a:solidFill>
          </a:endParaRPr>
        </a:p>
      </xdr:txBody>
    </xdr:sp>
    <xdr:clientData fPrintsWithSheet="0"/>
  </xdr:twoCellAnchor>
  <xdr:twoCellAnchor editAs="absolute">
    <xdr:from>
      <xdr:col>9</xdr:col>
      <xdr:colOff>720089</xdr:colOff>
      <xdr:row>1</xdr:row>
      <xdr:rowOff>0</xdr:rowOff>
    </xdr:from>
    <xdr:to>
      <xdr:col>9</xdr:col>
      <xdr:colOff>2025649</xdr:colOff>
      <xdr:row>2</xdr:row>
      <xdr:rowOff>0</xdr:rowOff>
    </xdr:to>
    <xdr:sp macro="[0]!Control_Change">
      <xdr:nvSpPr>
        <xdr:cNvPr id="21" name="tab1_4"/>
        <xdr:cNvSpPr txBox="1"/>
      </xdr:nvSpPr>
      <xdr:spPr>
        <a:xfrm>
          <a:off x="5872480" y="342900"/>
          <a:ext cx="130556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SCATTERPLOT</a:t>
          </a:r>
          <a:endParaRPr lang="en-GB" sz="1200" b="1">
            <a:solidFill>
              <a:srgbClr val="808080"/>
            </a:solidFill>
          </a:endParaRPr>
        </a:p>
      </xdr:txBody>
    </xdr:sp>
    <xdr:clientData fPrintsWithSheet="0"/>
  </xdr:twoCellAnchor>
  <xdr:twoCellAnchor editAs="absolute">
    <xdr:from>
      <xdr:col>9</xdr:col>
      <xdr:colOff>1982468</xdr:colOff>
      <xdr:row>1</xdr:row>
      <xdr:rowOff>0</xdr:rowOff>
    </xdr:from>
    <xdr:to>
      <xdr:col>9</xdr:col>
      <xdr:colOff>2830828</xdr:colOff>
      <xdr:row>2</xdr:row>
      <xdr:rowOff>0</xdr:rowOff>
    </xdr:to>
    <xdr:sp macro="[0]!Control_Change">
      <xdr:nvSpPr>
        <xdr:cNvPr id="23" name="tab1_6"/>
        <xdr:cNvSpPr txBox="1"/>
      </xdr:nvSpPr>
      <xdr:spPr>
        <a:xfrm>
          <a:off x="7134860" y="342900"/>
          <a:ext cx="84836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SCORES</a:t>
          </a:r>
          <a:endParaRPr lang="en-GB" sz="1200" b="1">
            <a:solidFill>
              <a:srgbClr val="808080"/>
            </a:solidFill>
          </a:endParaRPr>
        </a:p>
      </xdr:txBody>
    </xdr:sp>
    <xdr:clientData fPrintsWithSheet="0"/>
  </xdr:twoCellAnchor>
  <xdr:twoCellAnchor editAs="absolute">
    <xdr:from>
      <xdr:col>9</xdr:col>
      <xdr:colOff>2878453</xdr:colOff>
      <xdr:row>1</xdr:row>
      <xdr:rowOff>0</xdr:rowOff>
    </xdr:from>
    <xdr:to>
      <xdr:col>9</xdr:col>
      <xdr:colOff>3863972</xdr:colOff>
      <xdr:row>2</xdr:row>
      <xdr:rowOff>0</xdr:rowOff>
    </xdr:to>
    <xdr:sp macro="[0]!Control_Change">
      <xdr:nvSpPr>
        <xdr:cNvPr id="24" name="tab1_7"/>
        <xdr:cNvSpPr txBox="1"/>
      </xdr:nvSpPr>
      <xdr:spPr>
        <a:xfrm>
          <a:off x="8030845" y="342900"/>
          <a:ext cx="98552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WEIGHTS</a:t>
          </a:r>
          <a:endParaRPr lang="en-GB" sz="1200" b="1">
            <a:solidFill>
              <a:srgbClr val="808080"/>
            </a:solidFill>
          </a:endParaRPr>
        </a:p>
      </xdr:txBody>
    </xdr:sp>
    <xdr:clientData fPrintsWithSheet="0"/>
  </xdr:twoCellAnchor>
  <xdr:twoCellAnchor editAs="absolute">
    <xdr:from>
      <xdr:col>7</xdr:col>
      <xdr:colOff>590550</xdr:colOff>
      <xdr:row>1</xdr:row>
      <xdr:rowOff>1</xdr:rowOff>
    </xdr:from>
    <xdr:to>
      <xdr:col>9</xdr:col>
      <xdr:colOff>857250</xdr:colOff>
      <xdr:row>2</xdr:row>
      <xdr:rowOff>1</xdr:rowOff>
    </xdr:to>
    <xdr:sp macro="[0]!Control_Change">
      <xdr:nvSpPr>
        <xdr:cNvPr id="25" name="tab1_3"/>
        <xdr:cNvSpPr txBox="1"/>
      </xdr:nvSpPr>
      <xdr:spPr>
        <a:xfrm>
          <a:off x="4229100" y="342900"/>
          <a:ext cx="17811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CITY COMPARISON</a:t>
          </a:r>
          <a:endParaRPr lang="en-GB" sz="1200" b="1">
            <a:solidFill>
              <a:srgbClr val="808080"/>
            </a:solidFill>
          </a:endParaRPr>
        </a:p>
      </xdr:txBody>
    </xdr:sp>
    <xdr:clientData fPrintsWithSheet="0"/>
  </xdr:twoCellAnchor>
  <xdr:twoCellAnchor editAs="absolute">
    <xdr:from>
      <xdr:col>9</xdr:col>
      <xdr:colOff>228600</xdr:colOff>
      <xdr:row>2</xdr:row>
      <xdr:rowOff>0</xdr:rowOff>
    </xdr:from>
    <xdr:to>
      <xdr:col>9</xdr:col>
      <xdr:colOff>1430019</xdr:colOff>
      <xdr:row>2</xdr:row>
      <xdr:rowOff>238125</xdr:rowOff>
    </xdr:to>
    <xdr:sp>
      <xdr:nvSpPr>
        <xdr:cNvPr id="26" name="lbl_cnt_cnt_Country_Highlight"/>
        <xdr:cNvSpPr txBox="1"/>
      </xdr:nvSpPr>
      <xdr:spPr>
        <a:xfrm>
          <a:off x="5381625" y="609600"/>
          <a:ext cx="120078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rgbClr val="808080"/>
              </a:solidFill>
            </a:rPr>
            <a:t>HIGHLIGHT GROUP</a:t>
          </a:r>
          <a:endParaRPr lang="en-GB" sz="1000" b="1">
            <a:solidFill>
              <a:srgbClr val="808080"/>
            </a:solidFill>
          </a:endParaRPr>
        </a:p>
      </xdr:txBody>
    </xdr:sp>
    <xdr:clientData fPrintsWithSheet="0"/>
  </xdr:twoCellAnchor>
  <xdr:twoCellAnchor editAs="absolute">
    <xdr:from>
      <xdr:col>9</xdr:col>
      <xdr:colOff>1628775</xdr:colOff>
      <xdr:row>2</xdr:row>
      <xdr:rowOff>0</xdr:rowOff>
    </xdr:from>
    <xdr:to>
      <xdr:col>9</xdr:col>
      <xdr:colOff>2830194</xdr:colOff>
      <xdr:row>2</xdr:row>
      <xdr:rowOff>238125</xdr:rowOff>
    </xdr:to>
    <xdr:sp>
      <xdr:nvSpPr>
        <xdr:cNvPr id="17" name="lbl_cnt_cnt_Country_Highlight"/>
        <xdr:cNvSpPr txBox="1"/>
      </xdr:nvSpPr>
      <xdr:spPr>
        <a:xfrm>
          <a:off x="6781800" y="609600"/>
          <a:ext cx="120078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rgbClr val="808080"/>
              </a:solidFill>
            </a:rPr>
            <a:t>FILTER GROUP</a:t>
          </a:r>
          <a:endParaRPr lang="en-GB" sz="1000" b="1">
            <a:solidFill>
              <a:srgbClr val="808080"/>
            </a:solidFill>
          </a:endParaRPr>
        </a:p>
      </xdr:txBody>
    </xdr:sp>
    <xdr:clientData fPrintsWithSheet="0"/>
  </xdr:twoCellAnchor>
  <xdr:twoCellAnchor editAs="oneCell">
    <xdr:from>
      <xdr:col>0</xdr:col>
      <xdr:colOff>57150</xdr:colOff>
      <xdr:row>0</xdr:row>
      <xdr:rowOff>38100</xdr:rowOff>
    </xdr:from>
    <xdr:to>
      <xdr:col>3</xdr:col>
      <xdr:colOff>672768</xdr:colOff>
      <xdr:row>1</xdr:row>
      <xdr:rowOff>6225</xdr:rowOff>
    </xdr:to>
    <xdr:pic>
      <xdr:nvPicPr>
        <xdr:cNvPr id="19" name="Picture 1" descr="eiulogo">
          <a:hlinkClick xmlns:r="http://schemas.openxmlformats.org/officeDocument/2006/relationships" r:id="rId2"/>
        </xdr:cNvPr>
        <xdr:cNvPicPr>
          <a:picLocks noChangeAspect="1" noChangeArrowheads="1"/>
        </xdr:cNvPicPr>
      </xdr:nvPicPr>
      <xdr:blipFill>
        <a:blip r:embed="rId3" cstate="print"/>
        <a:srcRect/>
        <a:stretch>
          <a:fillRect/>
        </a:stretch>
      </xdr:blipFill>
      <xdr:spPr>
        <a:xfrm>
          <a:off x="57150" y="38100"/>
          <a:ext cx="1263015" cy="31051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absolute">
        <xdr:from>
          <xdr:col>0</xdr:col>
          <xdr:colOff>123825</xdr:colOff>
          <xdr:row>2</xdr:row>
          <xdr:rowOff>228600</xdr:rowOff>
        </xdr:from>
        <xdr:to>
          <xdr:col>7</xdr:col>
          <xdr:colOff>285750</xdr:colOff>
          <xdr:row>2</xdr:row>
          <xdr:rowOff>428625</xdr:rowOff>
        </xdr:to>
        <xdr:sp macro="[0]!Control_Change">
          <xdr:nvSpPr>
            <xdr:cNvPr id="586803" name="cnt_Indicator" hidden="1">
              <a:extLst>
                <a:ext uri="{63B3BB69-23CF-44E3-9099-C40C66FF867C}">
                  <a14:compatExt spid="_x0000_s586803"/>
                </a:ext>
              </a:extLst>
            </xdr:cNvPr>
            <xdr:cNvSpPr/>
          </xdr:nvSpPr>
          <xdr:spPr>
            <a:xfrm>
              <a:off x="123825" y="838200"/>
              <a:ext cx="3800475" cy="200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419100</xdr:colOff>
          <xdr:row>2</xdr:row>
          <xdr:rowOff>228600</xdr:rowOff>
        </xdr:from>
        <xdr:to>
          <xdr:col>9</xdr:col>
          <xdr:colOff>76200</xdr:colOff>
          <xdr:row>2</xdr:row>
          <xdr:rowOff>428625</xdr:rowOff>
        </xdr:to>
        <xdr:sp macro="[0]!Control_Change">
          <xdr:nvSpPr>
            <xdr:cNvPr id="586804" name="cnt_Country_Highlight" hidden="1">
              <a:extLst>
                <a:ext uri="{63B3BB69-23CF-44E3-9099-C40C66FF867C}">
                  <a14:compatExt spid="_x0000_s586804"/>
                </a:ext>
              </a:extLst>
            </xdr:cNvPr>
            <xdr:cNvSpPr/>
          </xdr:nvSpPr>
          <xdr:spPr>
            <a:xfrm>
              <a:off x="4057650" y="838200"/>
              <a:ext cx="1171575" cy="200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228600</xdr:colOff>
          <xdr:row>2</xdr:row>
          <xdr:rowOff>228600</xdr:rowOff>
        </xdr:from>
        <xdr:to>
          <xdr:col>9</xdr:col>
          <xdr:colOff>1476375</xdr:colOff>
          <xdr:row>2</xdr:row>
          <xdr:rowOff>438150</xdr:rowOff>
        </xdr:to>
        <xdr:sp macro="[0]!Control_Change">
          <xdr:nvSpPr>
            <xdr:cNvPr id="586805" name="cnt_highlight_group" hidden="1">
              <a:extLst>
                <a:ext uri="{63B3BB69-23CF-44E3-9099-C40C66FF867C}">
                  <a14:compatExt spid="_x0000_s586805"/>
                </a:ext>
              </a:extLst>
            </xdr:cNvPr>
            <xdr:cNvSpPr/>
          </xdr:nvSpPr>
          <xdr:spPr>
            <a:xfrm>
              <a:off x="5381625" y="838200"/>
              <a:ext cx="1247775" cy="2095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1638300</xdr:colOff>
          <xdr:row>2</xdr:row>
          <xdr:rowOff>228600</xdr:rowOff>
        </xdr:from>
        <xdr:to>
          <xdr:col>9</xdr:col>
          <xdr:colOff>2886075</xdr:colOff>
          <xdr:row>2</xdr:row>
          <xdr:rowOff>438150</xdr:rowOff>
        </xdr:to>
        <xdr:sp macro="[0]!Control_Change">
          <xdr:nvSpPr>
            <xdr:cNvPr id="586806" name="Drop Down 54" hidden="1">
              <a:extLst>
                <a:ext uri="{63B3BB69-23CF-44E3-9099-C40C66FF867C}">
                  <a14:compatExt spid="_x0000_s586806"/>
                </a:ext>
              </a:extLst>
            </xdr:cNvPr>
            <xdr:cNvSpPr/>
          </xdr:nvSpPr>
          <xdr:spPr>
            <a:xfrm>
              <a:off x="6791325" y="838200"/>
              <a:ext cx="1247775" cy="2095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4238625</xdr:colOff>
          <xdr:row>2</xdr:row>
          <xdr:rowOff>123825</xdr:rowOff>
        </xdr:from>
        <xdr:to>
          <xdr:col>10</xdr:col>
          <xdr:colOff>161925</xdr:colOff>
          <xdr:row>2</xdr:row>
          <xdr:rowOff>342900</xdr:rowOff>
        </xdr:to>
        <xdr:sp>
          <xdr:nvSpPr>
            <xdr:cNvPr id="586807" name="Check Box 55" hidden="1">
              <a:extLst>
                <a:ext uri="{63B3BB69-23CF-44E3-9099-C40C66FF867C}">
                  <a14:compatExt spid="_x0000_s586807"/>
                </a:ext>
              </a:extLst>
            </xdr:cNvPr>
            <xdr:cNvSpPr/>
          </xdr:nvSpPr>
          <xdr:spPr>
            <a:xfrm>
              <a:off x="9391650" y="733425"/>
              <a:ext cx="1704975" cy="21907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panose="020B0604030504040204"/>
                  <a:ea typeface="Tahoma" panose="020B0604030504040204"/>
                  <a:cs typeface="Tahoma" panose="020B0604030504040204"/>
                </a:rPr>
                <a:t>Click for Output/Input Ratios</a:t>
              </a:r>
              <a:endParaRPr 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mc:Choice>
    <mc:Fallback/>
  </mc:AlternateContent>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9</xdr:col>
      <xdr:colOff>771526</xdr:colOff>
      <xdr:row>3</xdr:row>
      <xdr:rowOff>114300</xdr:rowOff>
    </xdr:from>
    <xdr:to>
      <xdr:col>15</xdr:col>
      <xdr:colOff>552451</xdr:colOff>
      <xdr:row>16</xdr:row>
      <xdr:rowOff>47625</xdr:rowOff>
    </xdr:to>
    <xdr:graphicFrame>
      <xdr:nvGraphicFramePr>
        <xdr:cNvPr id="35" name="Chart 34"/>
        <xdr:cNvGraphicFramePr/>
      </xdr:nvGraphicFramePr>
      <xdr:xfrm>
        <a:off x="6191250" y="1200150"/>
        <a:ext cx="4905375" cy="315277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15</xdr:col>
      <xdr:colOff>244475</xdr:colOff>
      <xdr:row>0</xdr:row>
      <xdr:rowOff>82550</xdr:rowOff>
    </xdr:from>
    <xdr:to>
      <xdr:col>16</xdr:col>
      <xdr:colOff>73025</xdr:colOff>
      <xdr:row>1</xdr:row>
      <xdr:rowOff>177800</xdr:rowOff>
    </xdr:to>
    <xdr:pic macro="[0]!Control_Change">
      <xdr:nvPicPr>
        <xdr:cNvPr id="28" name="pdf" descr="pdf.png"/>
        <xdr:cNvPicPr>
          <a:picLocks noChangeAspect="1"/>
        </xdr:cNvPicPr>
      </xdr:nvPicPr>
      <xdr:blipFill>
        <a:blip r:embed="rId2" cstate="print"/>
        <a:srcRect/>
        <a:stretch>
          <a:fillRect/>
        </a:stretch>
      </xdr:blipFill>
      <xdr:spPr>
        <a:xfrm>
          <a:off x="10788650" y="82550"/>
          <a:ext cx="428625" cy="438150"/>
        </a:xfrm>
        <a:prstGeom prst="rect">
          <a:avLst/>
        </a:prstGeom>
        <a:noFill/>
        <a:ln w="9525">
          <a:noFill/>
          <a:miter lim="800000"/>
          <a:headEnd/>
          <a:tailEnd/>
        </a:ln>
      </xdr:spPr>
    </xdr:pic>
    <xdr:clientData fPrintsWithSheet="0"/>
  </xdr:twoCellAnchor>
  <xdr:twoCellAnchor editAs="absolute">
    <xdr:from>
      <xdr:col>0</xdr:col>
      <xdr:colOff>0</xdr:colOff>
      <xdr:row>1</xdr:row>
      <xdr:rowOff>266699</xdr:rowOff>
    </xdr:from>
    <xdr:to>
      <xdr:col>16</xdr:col>
      <xdr:colOff>66675</xdr:colOff>
      <xdr:row>2</xdr:row>
      <xdr:rowOff>476249</xdr:rowOff>
    </xdr:to>
    <xdr:sp>
      <xdr:nvSpPr>
        <xdr:cNvPr id="29" name="nav_controls"/>
        <xdr:cNvSpPr/>
      </xdr:nvSpPr>
      <xdr:spPr>
        <a:xfrm>
          <a:off x="0" y="608965"/>
          <a:ext cx="11210925" cy="476250"/>
        </a:xfrm>
        <a:prstGeom prst="rect">
          <a:avLst/>
        </a:prstGeom>
        <a:solidFill>
          <a:srgbClr val="F0F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editAs="absolute">
    <xdr:from>
      <xdr:col>0</xdr:col>
      <xdr:colOff>0</xdr:colOff>
      <xdr:row>0</xdr:row>
      <xdr:rowOff>342899</xdr:rowOff>
    </xdr:from>
    <xdr:to>
      <xdr:col>2</xdr:col>
      <xdr:colOff>715010</xdr:colOff>
      <xdr:row>1</xdr:row>
      <xdr:rowOff>266699</xdr:rowOff>
    </xdr:to>
    <xdr:sp macro="[0]!Control_Change">
      <xdr:nvSpPr>
        <xdr:cNvPr id="30" name="tab1_0"/>
        <xdr:cNvSpPr txBox="1"/>
      </xdr:nvSpPr>
      <xdr:spPr>
        <a:xfrm>
          <a:off x="0" y="342265"/>
          <a:ext cx="107696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SUMMARY</a:t>
          </a:r>
          <a:endParaRPr lang="en-GB" sz="1200" b="1">
            <a:solidFill>
              <a:srgbClr val="808080"/>
            </a:solidFill>
          </a:endParaRPr>
        </a:p>
      </xdr:txBody>
    </xdr:sp>
    <xdr:clientData fPrintsWithSheet="0"/>
  </xdr:twoCellAnchor>
  <xdr:twoCellAnchor editAs="absolute">
    <xdr:from>
      <xdr:col>2</xdr:col>
      <xdr:colOff>715009</xdr:colOff>
      <xdr:row>0</xdr:row>
      <xdr:rowOff>342899</xdr:rowOff>
    </xdr:from>
    <xdr:to>
      <xdr:col>2</xdr:col>
      <xdr:colOff>2401569</xdr:colOff>
      <xdr:row>1</xdr:row>
      <xdr:rowOff>266699</xdr:rowOff>
    </xdr:to>
    <xdr:sp macro="[0]!Control_Change">
      <xdr:nvSpPr>
        <xdr:cNvPr id="31" name="tab1_1"/>
        <xdr:cNvSpPr txBox="1"/>
      </xdr:nvSpPr>
      <xdr:spPr>
        <a:xfrm>
          <a:off x="1076325" y="342265"/>
          <a:ext cx="168656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INDICATOR RANKS</a:t>
          </a:r>
          <a:endParaRPr lang="en-GB" sz="1200" b="1">
            <a:solidFill>
              <a:srgbClr val="808080"/>
            </a:solidFill>
          </a:endParaRPr>
        </a:p>
      </xdr:txBody>
    </xdr:sp>
    <xdr:clientData fPrintsWithSheet="0"/>
  </xdr:twoCellAnchor>
  <xdr:twoCellAnchor editAs="absolute">
    <xdr:from>
      <xdr:col>2</xdr:col>
      <xdr:colOff>2401569</xdr:colOff>
      <xdr:row>0</xdr:row>
      <xdr:rowOff>342899</xdr:rowOff>
    </xdr:from>
    <xdr:to>
      <xdr:col>7</xdr:col>
      <xdr:colOff>386714</xdr:colOff>
      <xdr:row>1</xdr:row>
      <xdr:rowOff>266699</xdr:rowOff>
    </xdr:to>
    <xdr:sp macro="[0]!Control_Change">
      <xdr:nvSpPr>
        <xdr:cNvPr id="32" name="tab1_2"/>
        <xdr:cNvSpPr txBox="1"/>
      </xdr:nvSpPr>
      <xdr:spPr>
        <a:xfrm>
          <a:off x="2762885" y="342265"/>
          <a:ext cx="1671320" cy="266700"/>
        </a:xfrm>
        <a:prstGeom prst="rect">
          <a:avLst/>
        </a:prstGeom>
        <a:solidFill>
          <a:srgbClr val="F0F0F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005E9E"/>
              </a:solidFill>
            </a:rPr>
            <a:t>CITY PROFILE</a:t>
          </a:r>
          <a:endParaRPr lang="en-GB" sz="1200" b="1">
            <a:solidFill>
              <a:srgbClr val="005E9E"/>
            </a:solidFill>
          </a:endParaRPr>
        </a:p>
      </xdr:txBody>
    </xdr:sp>
    <xdr:clientData fPrintsWithSheet="0"/>
  </xdr:twoCellAnchor>
  <xdr:twoCellAnchor editAs="absolute">
    <xdr:from>
      <xdr:col>9</xdr:col>
      <xdr:colOff>567689</xdr:colOff>
      <xdr:row>0</xdr:row>
      <xdr:rowOff>342899</xdr:rowOff>
    </xdr:from>
    <xdr:to>
      <xdr:col>10</xdr:col>
      <xdr:colOff>320674</xdr:colOff>
      <xdr:row>1</xdr:row>
      <xdr:rowOff>266699</xdr:rowOff>
    </xdr:to>
    <xdr:sp macro="[0]!Control_Change">
      <xdr:nvSpPr>
        <xdr:cNvPr id="33" name="tab1_4"/>
        <xdr:cNvSpPr txBox="1"/>
      </xdr:nvSpPr>
      <xdr:spPr>
        <a:xfrm>
          <a:off x="5986780" y="342265"/>
          <a:ext cx="130556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SCATTERPLOT</a:t>
          </a:r>
          <a:endParaRPr lang="en-GB" sz="1200" b="1">
            <a:solidFill>
              <a:srgbClr val="808080"/>
            </a:solidFill>
          </a:endParaRPr>
        </a:p>
      </xdr:txBody>
    </xdr:sp>
    <xdr:clientData fPrintsWithSheet="0"/>
  </xdr:twoCellAnchor>
  <xdr:twoCellAnchor editAs="absolute">
    <xdr:from>
      <xdr:col>10</xdr:col>
      <xdr:colOff>276225</xdr:colOff>
      <xdr:row>0</xdr:row>
      <xdr:rowOff>342899</xdr:rowOff>
    </xdr:from>
    <xdr:to>
      <xdr:col>13</xdr:col>
      <xdr:colOff>240028</xdr:colOff>
      <xdr:row>1</xdr:row>
      <xdr:rowOff>266699</xdr:rowOff>
    </xdr:to>
    <xdr:sp macro="[0]!Control_Change">
      <xdr:nvSpPr>
        <xdr:cNvPr id="36" name="tab1_6"/>
        <xdr:cNvSpPr txBox="1"/>
      </xdr:nvSpPr>
      <xdr:spPr>
        <a:xfrm>
          <a:off x="7248525" y="342265"/>
          <a:ext cx="83947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SCORES</a:t>
          </a:r>
          <a:endParaRPr lang="en-GB" sz="1200" b="1">
            <a:solidFill>
              <a:srgbClr val="808080"/>
            </a:solidFill>
          </a:endParaRPr>
        </a:p>
      </xdr:txBody>
    </xdr:sp>
    <xdr:clientData fPrintsWithSheet="0"/>
  </xdr:twoCellAnchor>
  <xdr:twoCellAnchor editAs="absolute">
    <xdr:from>
      <xdr:col>13</xdr:col>
      <xdr:colOff>220978</xdr:colOff>
      <xdr:row>0</xdr:row>
      <xdr:rowOff>342899</xdr:rowOff>
    </xdr:from>
    <xdr:to>
      <xdr:col>13</xdr:col>
      <xdr:colOff>1206497</xdr:colOff>
      <xdr:row>1</xdr:row>
      <xdr:rowOff>266699</xdr:rowOff>
    </xdr:to>
    <xdr:sp macro="[0]!Control_Change">
      <xdr:nvSpPr>
        <xdr:cNvPr id="37" name="tab1_7"/>
        <xdr:cNvSpPr txBox="1"/>
      </xdr:nvSpPr>
      <xdr:spPr>
        <a:xfrm>
          <a:off x="8068945" y="342265"/>
          <a:ext cx="98552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WEIGHTS</a:t>
          </a:r>
          <a:endParaRPr lang="en-GB" sz="1200" b="1">
            <a:solidFill>
              <a:srgbClr val="808080"/>
            </a:solidFill>
          </a:endParaRPr>
        </a:p>
      </xdr:txBody>
    </xdr:sp>
    <xdr:clientData fPrintsWithSheet="0"/>
  </xdr:twoCellAnchor>
  <xdr:twoCellAnchor editAs="absolute">
    <xdr:from>
      <xdr:col>0</xdr:col>
      <xdr:colOff>127000</xdr:colOff>
      <xdr:row>2</xdr:row>
      <xdr:rowOff>0</xdr:rowOff>
    </xdr:from>
    <xdr:to>
      <xdr:col>2</xdr:col>
      <xdr:colOff>742950</xdr:colOff>
      <xdr:row>2</xdr:row>
      <xdr:rowOff>238125</xdr:rowOff>
    </xdr:to>
    <xdr:sp>
      <xdr:nvSpPr>
        <xdr:cNvPr id="38" name="lbl_cnt_cnt_Country_1"/>
        <xdr:cNvSpPr txBox="1"/>
      </xdr:nvSpPr>
      <xdr:spPr>
        <a:xfrm>
          <a:off x="127000" y="609600"/>
          <a:ext cx="9779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rgbClr val="808080"/>
              </a:solidFill>
            </a:rPr>
            <a:t>SELECT CITY</a:t>
          </a:r>
          <a:endParaRPr lang="en-GB" sz="1000" b="1">
            <a:solidFill>
              <a:srgbClr val="808080"/>
            </a:solidFill>
          </a:endParaRPr>
        </a:p>
      </xdr:txBody>
    </xdr:sp>
    <xdr:clientData fPrintsWithSheet="0"/>
  </xdr:twoCellAnchor>
  <xdr:twoCellAnchor editAs="absolute">
    <xdr:from>
      <xdr:col>2</xdr:col>
      <xdr:colOff>1063625</xdr:colOff>
      <xdr:row>2</xdr:row>
      <xdr:rowOff>0</xdr:rowOff>
    </xdr:from>
    <xdr:to>
      <xdr:col>2</xdr:col>
      <xdr:colOff>2348864</xdr:colOff>
      <xdr:row>2</xdr:row>
      <xdr:rowOff>238125</xdr:rowOff>
    </xdr:to>
    <xdr:sp>
      <xdr:nvSpPr>
        <xdr:cNvPr id="39" name="lbl_cnt_cnt_group_by"/>
        <xdr:cNvSpPr txBox="1"/>
      </xdr:nvSpPr>
      <xdr:spPr>
        <a:xfrm>
          <a:off x="1425575" y="609600"/>
          <a:ext cx="128460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rgbClr val="808080"/>
              </a:solidFill>
            </a:rPr>
            <a:t>INDICATOR GROUPING</a:t>
          </a:r>
          <a:endParaRPr lang="en-GB" sz="1000" b="1">
            <a:solidFill>
              <a:srgbClr val="808080"/>
            </a:solidFill>
          </a:endParaRPr>
        </a:p>
      </xdr:txBody>
    </xdr:sp>
    <xdr:clientData fPrintsWithSheet="0"/>
  </xdr:twoCellAnchor>
  <xdr:twoCellAnchor editAs="absolute">
    <xdr:from>
      <xdr:col>7</xdr:col>
      <xdr:colOff>295276</xdr:colOff>
      <xdr:row>1</xdr:row>
      <xdr:rowOff>0</xdr:rowOff>
    </xdr:from>
    <xdr:to>
      <xdr:col>9</xdr:col>
      <xdr:colOff>695326</xdr:colOff>
      <xdr:row>2</xdr:row>
      <xdr:rowOff>0</xdr:rowOff>
    </xdr:to>
    <xdr:sp macro="[0]!Control_Change">
      <xdr:nvSpPr>
        <xdr:cNvPr id="15" name="tab1_3"/>
        <xdr:cNvSpPr txBox="1"/>
      </xdr:nvSpPr>
      <xdr:spPr>
        <a:xfrm>
          <a:off x="4343400" y="342900"/>
          <a:ext cx="17716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CITY COMPARISON</a:t>
          </a:r>
          <a:endParaRPr lang="en-GB" sz="1200" b="1">
            <a:solidFill>
              <a:srgbClr val="808080"/>
            </a:solidFill>
          </a:endParaRPr>
        </a:p>
      </xdr:txBody>
    </xdr:sp>
    <xdr:clientData fPrintsWithSheet="0"/>
  </xdr:twoCellAnchor>
  <xdr:twoCellAnchor editAs="oneCell">
    <xdr:from>
      <xdr:col>0</xdr:col>
      <xdr:colOff>114300</xdr:colOff>
      <xdr:row>0</xdr:row>
      <xdr:rowOff>38100</xdr:rowOff>
    </xdr:from>
    <xdr:to>
      <xdr:col>2</xdr:col>
      <xdr:colOff>1015668</xdr:colOff>
      <xdr:row>1</xdr:row>
      <xdr:rowOff>6225</xdr:rowOff>
    </xdr:to>
    <xdr:pic>
      <xdr:nvPicPr>
        <xdr:cNvPr id="17" name="Picture 16" descr="eiulogo">
          <a:hlinkClick xmlns:r="http://schemas.openxmlformats.org/officeDocument/2006/relationships" r:id="rId3"/>
        </xdr:cNvPr>
        <xdr:cNvPicPr>
          <a:picLocks noChangeAspect="1" noChangeArrowheads="1"/>
        </xdr:cNvPicPr>
      </xdr:nvPicPr>
      <xdr:blipFill>
        <a:blip r:embed="rId4" cstate="print"/>
        <a:srcRect/>
        <a:stretch>
          <a:fillRect/>
        </a:stretch>
      </xdr:blipFill>
      <xdr:spPr>
        <a:xfrm>
          <a:off x="114300" y="38100"/>
          <a:ext cx="1263015" cy="31051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absolute">
        <xdr:from>
          <xdr:col>0</xdr:col>
          <xdr:colOff>123825</xdr:colOff>
          <xdr:row>2</xdr:row>
          <xdr:rowOff>228600</xdr:rowOff>
        </xdr:from>
        <xdr:to>
          <xdr:col>2</xdr:col>
          <xdr:colOff>933450</xdr:colOff>
          <xdr:row>2</xdr:row>
          <xdr:rowOff>428625</xdr:rowOff>
        </xdr:to>
        <xdr:sp macro="[0]!Control_Change">
          <xdr:nvSpPr>
            <xdr:cNvPr id="587808" name="cnt_Country_1" hidden="1">
              <a:extLst>
                <a:ext uri="{63B3BB69-23CF-44E3-9099-C40C66FF867C}">
                  <a14:compatExt spid="_x0000_s587808"/>
                </a:ext>
              </a:extLst>
            </xdr:cNvPr>
            <xdr:cNvSpPr/>
          </xdr:nvSpPr>
          <xdr:spPr>
            <a:xfrm>
              <a:off x="123825" y="838200"/>
              <a:ext cx="1171575" cy="200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1066800</xdr:colOff>
          <xdr:row>2</xdr:row>
          <xdr:rowOff>228600</xdr:rowOff>
        </xdr:from>
        <xdr:to>
          <xdr:col>2</xdr:col>
          <xdr:colOff>2486025</xdr:colOff>
          <xdr:row>2</xdr:row>
          <xdr:rowOff>438150</xdr:rowOff>
        </xdr:to>
        <xdr:sp macro="[0]!Control_Change">
          <xdr:nvSpPr>
            <xdr:cNvPr id="587809" name="cnt_group_by" hidden="1">
              <a:extLst>
                <a:ext uri="{63B3BB69-23CF-44E3-9099-C40C66FF867C}">
                  <a14:compatExt spid="_x0000_s587809"/>
                </a:ext>
              </a:extLst>
            </xdr:cNvPr>
            <xdr:cNvSpPr/>
          </xdr:nvSpPr>
          <xdr:spPr>
            <a:xfrm>
              <a:off x="1428750" y="838200"/>
              <a:ext cx="1419225" cy="2095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1552575</xdr:colOff>
          <xdr:row>2</xdr:row>
          <xdr:rowOff>123825</xdr:rowOff>
        </xdr:from>
        <xdr:to>
          <xdr:col>15</xdr:col>
          <xdr:colOff>552450</xdr:colOff>
          <xdr:row>2</xdr:row>
          <xdr:rowOff>342900</xdr:rowOff>
        </xdr:to>
        <xdr:sp>
          <xdr:nvSpPr>
            <xdr:cNvPr id="587810" name="Check Box 34" hidden="1">
              <a:extLst>
                <a:ext uri="{63B3BB69-23CF-44E3-9099-C40C66FF867C}">
                  <a14:compatExt spid="_x0000_s587810"/>
                </a:ext>
              </a:extLst>
            </xdr:cNvPr>
            <xdr:cNvSpPr/>
          </xdr:nvSpPr>
          <xdr:spPr>
            <a:xfrm>
              <a:off x="9401175" y="733425"/>
              <a:ext cx="1695450" cy="21907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panose="020B0604030504040204"/>
                  <a:ea typeface="Tahoma" panose="020B0604030504040204"/>
                  <a:cs typeface="Tahoma" panose="020B0604030504040204"/>
                </a:rPr>
                <a:t>Click for Output/Input Ratios</a:t>
              </a:r>
              <a:endParaRPr 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mc:Choice>
    <mc:Fallback/>
  </mc:AlternateContent>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10</xdr:col>
      <xdr:colOff>133349</xdr:colOff>
      <xdr:row>3</xdr:row>
      <xdr:rowOff>133350</xdr:rowOff>
    </xdr:from>
    <xdr:to>
      <xdr:col>14</xdr:col>
      <xdr:colOff>742950</xdr:colOff>
      <xdr:row>25</xdr:row>
      <xdr:rowOff>47625</xdr:rowOff>
    </xdr:to>
    <xdr:graphicFrame>
      <xdr:nvGraphicFramePr>
        <xdr:cNvPr id="2" name="Chart 1"/>
        <xdr:cNvGraphicFramePr/>
      </xdr:nvGraphicFramePr>
      <xdr:xfrm>
        <a:off x="10000615" y="1419225"/>
        <a:ext cx="4305935" cy="416242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xdr:colOff>
      <xdr:row>1</xdr:row>
      <xdr:rowOff>266699</xdr:rowOff>
    </xdr:from>
    <xdr:to>
      <xdr:col>14</xdr:col>
      <xdr:colOff>695325</xdr:colOff>
      <xdr:row>2</xdr:row>
      <xdr:rowOff>409574</xdr:rowOff>
    </xdr:to>
    <xdr:sp>
      <xdr:nvSpPr>
        <xdr:cNvPr id="4" name="nav_controls"/>
        <xdr:cNvSpPr/>
      </xdr:nvSpPr>
      <xdr:spPr>
        <a:xfrm>
          <a:off x="19050" y="580390"/>
          <a:ext cx="14239875" cy="476250"/>
        </a:xfrm>
        <a:prstGeom prst="rect">
          <a:avLst/>
        </a:prstGeom>
        <a:solidFill>
          <a:srgbClr val="F0F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editAs="absolute">
    <xdr:from>
      <xdr:col>0</xdr:col>
      <xdr:colOff>19050</xdr:colOff>
      <xdr:row>1</xdr:row>
      <xdr:rowOff>9524</xdr:rowOff>
    </xdr:from>
    <xdr:to>
      <xdr:col>3</xdr:col>
      <xdr:colOff>781685</xdr:colOff>
      <xdr:row>1</xdr:row>
      <xdr:rowOff>276224</xdr:rowOff>
    </xdr:to>
    <xdr:sp macro="[0]!Control_Change">
      <xdr:nvSpPr>
        <xdr:cNvPr id="5" name="tab1_0"/>
        <xdr:cNvSpPr txBox="1"/>
      </xdr:nvSpPr>
      <xdr:spPr>
        <a:xfrm>
          <a:off x="19050" y="323215"/>
          <a:ext cx="1076960" cy="26670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chemeClr val="bg1">
                  <a:lumMod val="50000"/>
                </a:schemeClr>
              </a:solidFill>
            </a:rPr>
            <a:t>SUMMARY</a:t>
          </a:r>
          <a:endParaRPr lang="en-GB" sz="1200" b="1">
            <a:solidFill>
              <a:schemeClr val="bg1">
                <a:lumMod val="50000"/>
              </a:schemeClr>
            </a:solidFill>
          </a:endParaRPr>
        </a:p>
      </xdr:txBody>
    </xdr:sp>
    <xdr:clientData fPrintsWithSheet="0"/>
  </xdr:twoCellAnchor>
  <xdr:twoCellAnchor editAs="absolute">
    <xdr:from>
      <xdr:col>3</xdr:col>
      <xdr:colOff>781684</xdr:colOff>
      <xdr:row>1</xdr:row>
      <xdr:rowOff>9524</xdr:rowOff>
    </xdr:from>
    <xdr:to>
      <xdr:col>3</xdr:col>
      <xdr:colOff>2468244</xdr:colOff>
      <xdr:row>1</xdr:row>
      <xdr:rowOff>276224</xdr:rowOff>
    </xdr:to>
    <xdr:sp macro="[0]!Control_Change">
      <xdr:nvSpPr>
        <xdr:cNvPr id="6" name="tab1_1"/>
        <xdr:cNvSpPr txBox="1"/>
      </xdr:nvSpPr>
      <xdr:spPr>
        <a:xfrm>
          <a:off x="1095375" y="323215"/>
          <a:ext cx="168656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INDICATOR RANKS</a:t>
          </a:r>
          <a:endParaRPr lang="en-GB" sz="1200" b="1">
            <a:solidFill>
              <a:srgbClr val="808080"/>
            </a:solidFill>
          </a:endParaRPr>
        </a:p>
      </xdr:txBody>
    </xdr:sp>
    <xdr:clientData fPrintsWithSheet="0"/>
  </xdr:twoCellAnchor>
  <xdr:twoCellAnchor editAs="absolute">
    <xdr:from>
      <xdr:col>3</xdr:col>
      <xdr:colOff>2468244</xdr:colOff>
      <xdr:row>1</xdr:row>
      <xdr:rowOff>9524</xdr:rowOff>
    </xdr:from>
    <xdr:to>
      <xdr:col>3</xdr:col>
      <xdr:colOff>4139564</xdr:colOff>
      <xdr:row>1</xdr:row>
      <xdr:rowOff>276224</xdr:rowOff>
    </xdr:to>
    <xdr:sp macro="[0]!Control_Change">
      <xdr:nvSpPr>
        <xdr:cNvPr id="7" name="tab1_2"/>
        <xdr:cNvSpPr txBox="1"/>
      </xdr:nvSpPr>
      <xdr:spPr>
        <a:xfrm>
          <a:off x="2781935" y="323215"/>
          <a:ext cx="167132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CITY PROFILE</a:t>
          </a:r>
          <a:endParaRPr lang="en-GB" sz="1200" b="1">
            <a:solidFill>
              <a:srgbClr val="808080"/>
            </a:solidFill>
          </a:endParaRPr>
        </a:p>
      </xdr:txBody>
    </xdr:sp>
    <xdr:clientData fPrintsWithSheet="0"/>
  </xdr:twoCellAnchor>
  <xdr:twoCellAnchor editAs="absolute">
    <xdr:from>
      <xdr:col>0</xdr:col>
      <xdr:colOff>146050</xdr:colOff>
      <xdr:row>1</xdr:row>
      <xdr:rowOff>276225</xdr:rowOff>
    </xdr:from>
    <xdr:to>
      <xdr:col>3</xdr:col>
      <xdr:colOff>1033144</xdr:colOff>
      <xdr:row>2</xdr:row>
      <xdr:rowOff>180975</xdr:rowOff>
    </xdr:to>
    <xdr:sp>
      <xdr:nvSpPr>
        <xdr:cNvPr id="10" name="lbl_cnt_cnt_Country_Highlight"/>
        <xdr:cNvSpPr txBox="1"/>
      </xdr:nvSpPr>
      <xdr:spPr>
        <a:xfrm>
          <a:off x="146050" y="590550"/>
          <a:ext cx="120078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rgbClr val="808080"/>
              </a:solidFill>
            </a:rPr>
            <a:t>CITY 1</a:t>
          </a:r>
          <a:endParaRPr lang="en-GB" sz="1000" b="1">
            <a:solidFill>
              <a:srgbClr val="808080"/>
            </a:solidFill>
          </a:endParaRPr>
        </a:p>
      </xdr:txBody>
    </xdr:sp>
    <xdr:clientData fPrintsWithSheet="0"/>
  </xdr:twoCellAnchor>
  <xdr:twoCellAnchor editAs="absolute">
    <xdr:from>
      <xdr:col>3</xdr:col>
      <xdr:colOff>1160144</xdr:colOff>
      <xdr:row>1</xdr:row>
      <xdr:rowOff>276225</xdr:rowOff>
    </xdr:from>
    <xdr:to>
      <xdr:col>3</xdr:col>
      <xdr:colOff>2221863</xdr:colOff>
      <xdr:row>2</xdr:row>
      <xdr:rowOff>180975</xdr:rowOff>
    </xdr:to>
    <xdr:sp>
      <xdr:nvSpPr>
        <xdr:cNvPr id="11" name="lbl_cnt_cnt_highlight_group"/>
        <xdr:cNvSpPr txBox="1"/>
      </xdr:nvSpPr>
      <xdr:spPr>
        <a:xfrm>
          <a:off x="1473835" y="590550"/>
          <a:ext cx="106172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rgbClr val="808080"/>
              </a:solidFill>
            </a:rPr>
            <a:t>CITY 2</a:t>
          </a:r>
          <a:endParaRPr lang="en-GB" sz="1000" b="1">
            <a:solidFill>
              <a:srgbClr val="808080"/>
            </a:solidFill>
          </a:endParaRPr>
        </a:p>
      </xdr:txBody>
    </xdr:sp>
    <xdr:clientData fPrintsWithSheet="0"/>
  </xdr:twoCellAnchor>
  <xdr:twoCellAnchor editAs="absolute">
    <xdr:from>
      <xdr:col>3</xdr:col>
      <xdr:colOff>4067175</xdr:colOff>
      <xdr:row>1</xdr:row>
      <xdr:rowOff>9525</xdr:rowOff>
    </xdr:from>
    <xdr:to>
      <xdr:col>4</xdr:col>
      <xdr:colOff>352425</xdr:colOff>
      <xdr:row>1</xdr:row>
      <xdr:rowOff>276225</xdr:rowOff>
    </xdr:to>
    <xdr:sp macro="[0]!Control_Change">
      <xdr:nvSpPr>
        <xdr:cNvPr id="12" name="tab1_3"/>
        <xdr:cNvSpPr txBox="1"/>
      </xdr:nvSpPr>
      <xdr:spPr>
        <a:xfrm>
          <a:off x="4381500" y="323850"/>
          <a:ext cx="1552575" cy="2667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0070C0"/>
              </a:solidFill>
            </a:rPr>
            <a:t>CITY COMPARE</a:t>
          </a:r>
          <a:endParaRPr lang="en-GB" sz="1200" b="1">
            <a:solidFill>
              <a:srgbClr val="0070C0"/>
            </a:solidFill>
          </a:endParaRPr>
        </a:p>
      </xdr:txBody>
    </xdr:sp>
    <xdr:clientData fPrintsWithSheet="0"/>
  </xdr:twoCellAnchor>
  <xdr:twoCellAnchor editAs="absolute">
    <xdr:from>
      <xdr:col>14</xdr:col>
      <xdr:colOff>304800</xdr:colOff>
      <xdr:row>0</xdr:row>
      <xdr:rowOff>76200</xdr:rowOff>
    </xdr:from>
    <xdr:to>
      <xdr:col>14</xdr:col>
      <xdr:colOff>742950</xdr:colOff>
      <xdr:row>1</xdr:row>
      <xdr:rowOff>200025</xdr:rowOff>
    </xdr:to>
    <xdr:pic macro="[0]!Control_Change">
      <xdr:nvPicPr>
        <xdr:cNvPr id="16" name="pdf" descr="1372801245_pdf.png"/>
        <xdr:cNvPicPr>
          <a:picLocks noChangeAspect="1"/>
        </xdr:cNvPicPr>
      </xdr:nvPicPr>
      <xdr:blipFill>
        <a:blip r:embed="rId2" cstate="print"/>
        <a:srcRect/>
        <a:stretch>
          <a:fillRect/>
        </a:stretch>
      </xdr:blipFill>
      <xdr:spPr>
        <a:xfrm>
          <a:off x="13868400" y="76200"/>
          <a:ext cx="438150" cy="438150"/>
        </a:xfrm>
        <a:prstGeom prst="rect">
          <a:avLst/>
        </a:prstGeom>
        <a:noFill/>
        <a:ln w="9525">
          <a:noFill/>
          <a:miter lim="800000"/>
          <a:headEnd/>
          <a:tailEnd/>
        </a:ln>
      </xdr:spPr>
    </xdr:pic>
    <xdr:clientData fPrintsWithSheet="0"/>
  </xdr:twoCellAnchor>
  <xdr:twoCellAnchor editAs="absolute">
    <xdr:from>
      <xdr:col>4</xdr:col>
      <xdr:colOff>352425</xdr:colOff>
      <xdr:row>1</xdr:row>
      <xdr:rowOff>0</xdr:rowOff>
    </xdr:from>
    <xdr:to>
      <xdr:col>5</xdr:col>
      <xdr:colOff>1000760</xdr:colOff>
      <xdr:row>1</xdr:row>
      <xdr:rowOff>266700</xdr:rowOff>
    </xdr:to>
    <xdr:sp macro="[0]!Control_Change">
      <xdr:nvSpPr>
        <xdr:cNvPr id="17" name="tab1_4"/>
        <xdr:cNvSpPr txBox="1"/>
      </xdr:nvSpPr>
      <xdr:spPr>
        <a:xfrm>
          <a:off x="5934075" y="314325"/>
          <a:ext cx="130556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SCATTERPLOT</a:t>
          </a:r>
          <a:endParaRPr lang="en-GB" sz="1200" b="1">
            <a:solidFill>
              <a:srgbClr val="808080"/>
            </a:solidFill>
          </a:endParaRPr>
        </a:p>
      </xdr:txBody>
    </xdr:sp>
    <xdr:clientData fPrintsWithSheet="0"/>
  </xdr:twoCellAnchor>
  <xdr:twoCellAnchor editAs="absolute">
    <xdr:from>
      <xdr:col>6</xdr:col>
      <xdr:colOff>14604</xdr:colOff>
      <xdr:row>1</xdr:row>
      <xdr:rowOff>0</xdr:rowOff>
    </xdr:from>
    <xdr:to>
      <xdr:col>7</xdr:col>
      <xdr:colOff>186689</xdr:colOff>
      <xdr:row>1</xdr:row>
      <xdr:rowOff>266700</xdr:rowOff>
    </xdr:to>
    <xdr:sp macro="[0]!Control_Change">
      <xdr:nvSpPr>
        <xdr:cNvPr id="19" name="tab1_6"/>
        <xdr:cNvSpPr txBox="1"/>
      </xdr:nvSpPr>
      <xdr:spPr>
        <a:xfrm>
          <a:off x="7262495" y="314325"/>
          <a:ext cx="84836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SCORES</a:t>
          </a:r>
          <a:endParaRPr lang="en-GB" sz="1200" b="1">
            <a:solidFill>
              <a:srgbClr val="808080"/>
            </a:solidFill>
          </a:endParaRPr>
        </a:p>
      </xdr:txBody>
    </xdr:sp>
    <xdr:clientData fPrintsWithSheet="0"/>
  </xdr:twoCellAnchor>
  <xdr:twoCellAnchor editAs="absolute">
    <xdr:from>
      <xdr:col>7</xdr:col>
      <xdr:colOff>224789</xdr:colOff>
      <xdr:row>1</xdr:row>
      <xdr:rowOff>0</xdr:rowOff>
    </xdr:from>
    <xdr:to>
      <xdr:col>8</xdr:col>
      <xdr:colOff>562608</xdr:colOff>
      <xdr:row>1</xdr:row>
      <xdr:rowOff>266700</xdr:rowOff>
    </xdr:to>
    <xdr:sp macro="[0]!Control_Change">
      <xdr:nvSpPr>
        <xdr:cNvPr id="20" name="tab1_7"/>
        <xdr:cNvSpPr txBox="1"/>
      </xdr:nvSpPr>
      <xdr:spPr>
        <a:xfrm>
          <a:off x="8148955" y="314325"/>
          <a:ext cx="98552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WEIGHTS</a:t>
          </a:r>
          <a:endParaRPr lang="en-GB" sz="1200" b="1">
            <a:solidFill>
              <a:srgbClr val="808080"/>
            </a:solidFill>
          </a:endParaRPr>
        </a:p>
      </xdr:txBody>
    </xdr:sp>
    <xdr:clientData fPrintsWithSheet="0"/>
  </xdr:twoCellAnchor>
  <xdr:twoCellAnchor editAs="oneCell">
    <xdr:from>
      <xdr:col>0</xdr:col>
      <xdr:colOff>114300</xdr:colOff>
      <xdr:row>0</xdr:row>
      <xdr:rowOff>38100</xdr:rowOff>
    </xdr:from>
    <xdr:to>
      <xdr:col>3</xdr:col>
      <xdr:colOff>1063293</xdr:colOff>
      <xdr:row>1</xdr:row>
      <xdr:rowOff>34800</xdr:rowOff>
    </xdr:to>
    <xdr:pic>
      <xdr:nvPicPr>
        <xdr:cNvPr id="15" name="Picture 14" descr="eiulogo">
          <a:hlinkClick xmlns:r="http://schemas.openxmlformats.org/officeDocument/2006/relationships" r:id="rId3"/>
        </xdr:cNvPr>
        <xdr:cNvPicPr>
          <a:picLocks noChangeAspect="1" noChangeArrowheads="1"/>
        </xdr:cNvPicPr>
      </xdr:nvPicPr>
      <xdr:blipFill>
        <a:blip r:embed="rId4" cstate="print"/>
        <a:srcRect/>
        <a:stretch>
          <a:fillRect/>
        </a:stretch>
      </xdr:blipFill>
      <xdr:spPr>
        <a:xfrm>
          <a:off x="114300" y="38100"/>
          <a:ext cx="1263015" cy="31051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0</xdr:col>
          <xdr:colOff>114300</xdr:colOff>
          <xdr:row>2</xdr:row>
          <xdr:rowOff>142875</xdr:rowOff>
        </xdr:from>
        <xdr:to>
          <xdr:col>3</xdr:col>
          <xdr:colOff>1057275</xdr:colOff>
          <xdr:row>2</xdr:row>
          <xdr:rowOff>361950</xdr:rowOff>
        </xdr:to>
        <xdr:sp>
          <xdr:nvSpPr>
            <xdr:cNvPr id="599041" name="Drop Down 1" hidden="1">
              <a:extLst>
                <a:ext uri="{63B3BB69-23CF-44E3-9099-C40C66FF867C}">
                  <a14:compatExt spid="_x0000_s599041"/>
                </a:ext>
              </a:extLst>
            </xdr:cNvPr>
            <xdr:cNvSpPr/>
          </xdr:nvSpPr>
          <xdr:spPr>
            <a:xfrm>
              <a:off x="114300" y="790575"/>
              <a:ext cx="1257300" cy="219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1162050</xdr:colOff>
          <xdr:row>2</xdr:row>
          <xdr:rowOff>142875</xdr:rowOff>
        </xdr:from>
        <xdr:to>
          <xdr:col>3</xdr:col>
          <xdr:colOff>2419350</xdr:colOff>
          <xdr:row>2</xdr:row>
          <xdr:rowOff>361950</xdr:rowOff>
        </xdr:to>
        <xdr:sp>
          <xdr:nvSpPr>
            <xdr:cNvPr id="599042" name="Drop Down 2" hidden="1">
              <a:extLst>
                <a:ext uri="{63B3BB69-23CF-44E3-9099-C40C66FF867C}">
                  <a14:compatExt spid="_x0000_s599042"/>
                </a:ext>
              </a:extLst>
            </xdr:cNvPr>
            <xdr:cNvSpPr/>
          </xdr:nvSpPr>
          <xdr:spPr>
            <a:xfrm>
              <a:off x="1476375" y="790575"/>
              <a:ext cx="1257300" cy="219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15</xdr:row>
          <xdr:rowOff>57150</xdr:rowOff>
        </xdr:from>
        <xdr:to>
          <xdr:col>3</xdr:col>
          <xdr:colOff>3867150</xdr:colOff>
          <xdr:row>16</xdr:row>
          <xdr:rowOff>152400</xdr:rowOff>
        </xdr:to>
        <xdr:sp macro="[0]!AutoHeight">
          <xdr:nvSpPr>
            <xdr:cNvPr id="599045" name="Drop Down 5" hidden="1">
              <a:extLst>
                <a:ext uri="{63B3BB69-23CF-44E3-9099-C40C66FF867C}">
                  <a14:compatExt spid="_x0000_s599045"/>
                </a:ext>
              </a:extLst>
            </xdr:cNvPr>
            <xdr:cNvSpPr/>
          </xdr:nvSpPr>
          <xdr:spPr>
            <a:xfrm>
              <a:off x="390525" y="3686175"/>
              <a:ext cx="3790950" cy="2857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37</xdr:row>
          <xdr:rowOff>28575</xdr:rowOff>
        </xdr:from>
        <xdr:to>
          <xdr:col>7</xdr:col>
          <xdr:colOff>285750</xdr:colOff>
          <xdr:row>37</xdr:row>
          <xdr:rowOff>247650</xdr:rowOff>
        </xdr:to>
        <xdr:sp>
          <xdr:nvSpPr>
            <xdr:cNvPr id="599047" name="Drop Down 7" hidden="1">
              <a:extLst>
                <a:ext uri="{63B3BB69-23CF-44E3-9099-C40C66FF867C}">
                  <a14:compatExt spid="_x0000_s599047"/>
                </a:ext>
              </a:extLst>
            </xdr:cNvPr>
            <xdr:cNvSpPr/>
          </xdr:nvSpPr>
          <xdr:spPr>
            <a:xfrm>
              <a:off x="6953250" y="5943600"/>
              <a:ext cx="1257300" cy="219075"/>
            </a:xfrm>
            <a:prstGeom prst="rect">
              <a:avLst/>
            </a:prstGeom>
          </xdr:spPr>
        </xdr:sp>
        <xdr:clientData/>
      </xdr:twoCellAnchor>
    </mc:Choice>
    <mc:Fallback/>
  </mc:AlternateContent>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absolute">
    <xdr:from>
      <xdr:col>17</xdr:col>
      <xdr:colOff>692150</xdr:colOff>
      <xdr:row>0</xdr:row>
      <xdr:rowOff>82550</xdr:rowOff>
    </xdr:from>
    <xdr:to>
      <xdr:col>19</xdr:col>
      <xdr:colOff>15875</xdr:colOff>
      <xdr:row>1</xdr:row>
      <xdr:rowOff>177800</xdr:rowOff>
    </xdr:to>
    <xdr:pic macro="[0]!Control_Change">
      <xdr:nvPicPr>
        <xdr:cNvPr id="35" name="pdf" descr="1372801245_pdf.png"/>
        <xdr:cNvPicPr>
          <a:picLocks noChangeAspect="1"/>
        </xdr:cNvPicPr>
      </xdr:nvPicPr>
      <xdr:blipFill>
        <a:blip r:embed="rId2" cstate="print"/>
        <a:srcRect/>
        <a:stretch>
          <a:fillRect/>
        </a:stretch>
      </xdr:blipFill>
      <xdr:spPr>
        <a:xfrm>
          <a:off x="10702925" y="82550"/>
          <a:ext cx="438150" cy="438150"/>
        </a:xfrm>
        <a:prstGeom prst="rect">
          <a:avLst/>
        </a:prstGeom>
        <a:noFill/>
        <a:ln w="9525">
          <a:noFill/>
          <a:miter lim="800000"/>
          <a:headEnd/>
          <a:tailEnd/>
        </a:ln>
      </xdr:spPr>
    </xdr:pic>
    <xdr:clientData fPrintsWithSheet="0"/>
  </xdr:twoCellAnchor>
  <xdr:twoCellAnchor editAs="absolute">
    <xdr:from>
      <xdr:col>0</xdr:col>
      <xdr:colOff>0</xdr:colOff>
      <xdr:row>1</xdr:row>
      <xdr:rowOff>266699</xdr:rowOff>
    </xdr:from>
    <xdr:to>
      <xdr:col>19</xdr:col>
      <xdr:colOff>9525</xdr:colOff>
      <xdr:row>2</xdr:row>
      <xdr:rowOff>476249</xdr:rowOff>
    </xdr:to>
    <xdr:sp>
      <xdr:nvSpPr>
        <xdr:cNvPr id="36" name="nav_controls"/>
        <xdr:cNvSpPr/>
      </xdr:nvSpPr>
      <xdr:spPr>
        <a:xfrm>
          <a:off x="0" y="608965"/>
          <a:ext cx="11134725" cy="476250"/>
        </a:xfrm>
        <a:prstGeom prst="rect">
          <a:avLst/>
        </a:prstGeom>
        <a:solidFill>
          <a:srgbClr val="F0F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editAs="absolute">
    <xdr:from>
      <xdr:col>0</xdr:col>
      <xdr:colOff>0</xdr:colOff>
      <xdr:row>0</xdr:row>
      <xdr:rowOff>342899</xdr:rowOff>
    </xdr:from>
    <xdr:to>
      <xdr:col>1</xdr:col>
      <xdr:colOff>695960</xdr:colOff>
      <xdr:row>1</xdr:row>
      <xdr:rowOff>266699</xdr:rowOff>
    </xdr:to>
    <xdr:sp macro="[0]!Control_Change">
      <xdr:nvSpPr>
        <xdr:cNvPr id="37" name="tab1_0"/>
        <xdr:cNvSpPr txBox="1"/>
      </xdr:nvSpPr>
      <xdr:spPr>
        <a:xfrm>
          <a:off x="0" y="342265"/>
          <a:ext cx="107696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SUMMARY</a:t>
          </a:r>
          <a:endParaRPr lang="en-GB" sz="1200" b="1">
            <a:solidFill>
              <a:srgbClr val="808080"/>
            </a:solidFill>
          </a:endParaRPr>
        </a:p>
      </xdr:txBody>
    </xdr:sp>
    <xdr:clientData fPrintsWithSheet="0"/>
  </xdr:twoCellAnchor>
  <xdr:twoCellAnchor editAs="absolute">
    <xdr:from>
      <xdr:col>1</xdr:col>
      <xdr:colOff>695959</xdr:colOff>
      <xdr:row>0</xdr:row>
      <xdr:rowOff>342899</xdr:rowOff>
    </xdr:from>
    <xdr:to>
      <xdr:col>4</xdr:col>
      <xdr:colOff>325119</xdr:colOff>
      <xdr:row>1</xdr:row>
      <xdr:rowOff>266699</xdr:rowOff>
    </xdr:to>
    <xdr:sp macro="[0]!Control_Change">
      <xdr:nvSpPr>
        <xdr:cNvPr id="38" name="tab1_1"/>
        <xdr:cNvSpPr txBox="1"/>
      </xdr:nvSpPr>
      <xdr:spPr>
        <a:xfrm>
          <a:off x="1076325" y="342265"/>
          <a:ext cx="166751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INDICATOR RANKS</a:t>
          </a:r>
          <a:endParaRPr lang="en-GB" sz="1200" b="1">
            <a:solidFill>
              <a:srgbClr val="808080"/>
            </a:solidFill>
          </a:endParaRPr>
        </a:p>
      </xdr:txBody>
    </xdr:sp>
    <xdr:clientData fPrintsWithSheet="0"/>
  </xdr:twoCellAnchor>
  <xdr:twoCellAnchor editAs="absolute">
    <xdr:from>
      <xdr:col>4</xdr:col>
      <xdr:colOff>325119</xdr:colOff>
      <xdr:row>0</xdr:row>
      <xdr:rowOff>342899</xdr:rowOff>
    </xdr:from>
    <xdr:to>
      <xdr:col>7</xdr:col>
      <xdr:colOff>167639</xdr:colOff>
      <xdr:row>1</xdr:row>
      <xdr:rowOff>266699</xdr:rowOff>
    </xdr:to>
    <xdr:sp macro="[0]!Control_Change">
      <xdr:nvSpPr>
        <xdr:cNvPr id="39" name="tab1_2"/>
        <xdr:cNvSpPr txBox="1"/>
      </xdr:nvSpPr>
      <xdr:spPr>
        <a:xfrm>
          <a:off x="2743835" y="342265"/>
          <a:ext cx="164274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CITY PROFILE</a:t>
          </a:r>
          <a:endParaRPr lang="en-GB" sz="1200" b="1">
            <a:solidFill>
              <a:srgbClr val="808080"/>
            </a:solidFill>
          </a:endParaRPr>
        </a:p>
      </xdr:txBody>
    </xdr:sp>
    <xdr:clientData fPrintsWithSheet="0"/>
  </xdr:twoCellAnchor>
  <xdr:twoCellAnchor editAs="absolute">
    <xdr:from>
      <xdr:col>0</xdr:col>
      <xdr:colOff>127000</xdr:colOff>
      <xdr:row>2</xdr:row>
      <xdr:rowOff>0</xdr:rowOff>
    </xdr:from>
    <xdr:to>
      <xdr:col>2</xdr:col>
      <xdr:colOff>388619</xdr:colOff>
      <xdr:row>2</xdr:row>
      <xdr:rowOff>238125</xdr:rowOff>
    </xdr:to>
    <xdr:sp>
      <xdr:nvSpPr>
        <xdr:cNvPr id="44" name="lbl_cnt_cnt_scatter_x"/>
        <xdr:cNvSpPr txBox="1"/>
      </xdr:nvSpPr>
      <xdr:spPr>
        <a:xfrm>
          <a:off x="127000" y="609600"/>
          <a:ext cx="148018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rgbClr val="808080"/>
              </a:solidFill>
            </a:rPr>
            <a:t>SELECT X-AXIS INDICATOR</a:t>
          </a:r>
          <a:endParaRPr lang="en-GB" sz="1000" b="1">
            <a:solidFill>
              <a:srgbClr val="808080"/>
            </a:solidFill>
          </a:endParaRPr>
        </a:p>
      </xdr:txBody>
    </xdr:sp>
    <xdr:clientData fPrintsWithSheet="0"/>
  </xdr:twoCellAnchor>
  <xdr:twoCellAnchor editAs="absolute">
    <xdr:from>
      <xdr:col>5</xdr:col>
      <xdr:colOff>501650</xdr:colOff>
      <xdr:row>2</xdr:row>
      <xdr:rowOff>0</xdr:rowOff>
    </xdr:from>
    <xdr:to>
      <xdr:col>8</xdr:col>
      <xdr:colOff>153669</xdr:colOff>
      <xdr:row>2</xdr:row>
      <xdr:rowOff>238125</xdr:rowOff>
    </xdr:to>
    <xdr:sp>
      <xdr:nvSpPr>
        <xdr:cNvPr id="45" name="lbl_cnt_cnt_scatter_y"/>
        <xdr:cNvSpPr txBox="1"/>
      </xdr:nvSpPr>
      <xdr:spPr>
        <a:xfrm>
          <a:off x="3521075" y="609600"/>
          <a:ext cx="145161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rgbClr val="808080"/>
              </a:solidFill>
            </a:rPr>
            <a:t>SELECT Y-AXIS INDICATOR</a:t>
          </a:r>
          <a:endParaRPr lang="en-GB" sz="1000" b="1">
            <a:solidFill>
              <a:srgbClr val="808080"/>
            </a:solidFill>
          </a:endParaRPr>
        </a:p>
      </xdr:txBody>
    </xdr:sp>
    <xdr:clientData fPrintsWithSheet="0"/>
  </xdr:twoCellAnchor>
  <xdr:twoCellAnchor editAs="absolute">
    <xdr:from>
      <xdr:col>11</xdr:col>
      <xdr:colOff>266700</xdr:colOff>
      <xdr:row>2</xdr:row>
      <xdr:rowOff>0</xdr:rowOff>
    </xdr:from>
    <xdr:to>
      <xdr:col>13</xdr:col>
      <xdr:colOff>248919</xdr:colOff>
      <xdr:row>2</xdr:row>
      <xdr:rowOff>238125</xdr:rowOff>
    </xdr:to>
    <xdr:sp>
      <xdr:nvSpPr>
        <xdr:cNvPr id="46" name="lbl_cnt_cnt_Country_Highlight"/>
        <xdr:cNvSpPr txBox="1"/>
      </xdr:nvSpPr>
      <xdr:spPr>
        <a:xfrm>
          <a:off x="6886575" y="609600"/>
          <a:ext cx="118173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rgbClr val="808080"/>
              </a:solidFill>
            </a:rPr>
            <a:t>HIGHLIGHT CITY</a:t>
          </a:r>
          <a:endParaRPr lang="en-GB" sz="1000" b="1">
            <a:solidFill>
              <a:srgbClr val="808080"/>
            </a:solidFill>
          </a:endParaRPr>
        </a:p>
      </xdr:txBody>
    </xdr:sp>
    <xdr:clientData fPrintsWithSheet="0"/>
  </xdr:twoCellAnchor>
  <xdr:twoCellAnchor editAs="absolute">
    <xdr:from>
      <xdr:col>13</xdr:col>
      <xdr:colOff>375919</xdr:colOff>
      <xdr:row>2</xdr:row>
      <xdr:rowOff>0</xdr:rowOff>
    </xdr:from>
    <xdr:to>
      <xdr:col>13</xdr:col>
      <xdr:colOff>377506</xdr:colOff>
      <xdr:row>2</xdr:row>
      <xdr:rowOff>238125</xdr:rowOff>
    </xdr:to>
    <xdr:sp>
      <xdr:nvSpPr>
        <xdr:cNvPr id="47" name="lbl_cnt_cnt_scatter_labels"/>
        <xdr:cNvSpPr txBox="1"/>
      </xdr:nvSpPr>
      <xdr:spPr>
        <a:xfrm>
          <a:off x="8195310" y="609600"/>
          <a:ext cx="190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endParaRPr lang="en-GB" sz="1000" b="1">
            <a:solidFill>
              <a:srgbClr val="808080"/>
            </a:solidFill>
          </a:endParaRPr>
        </a:p>
      </xdr:txBody>
    </xdr:sp>
    <xdr:clientData fPrintsWithSheet="0"/>
  </xdr:twoCellAnchor>
  <xdr:twoCellAnchor editAs="absolute">
    <xdr:from>
      <xdr:col>16</xdr:col>
      <xdr:colOff>312419</xdr:colOff>
      <xdr:row>2</xdr:row>
      <xdr:rowOff>0</xdr:rowOff>
    </xdr:from>
    <xdr:to>
      <xdr:col>16</xdr:col>
      <xdr:colOff>314006</xdr:colOff>
      <xdr:row>2</xdr:row>
      <xdr:rowOff>238125</xdr:rowOff>
    </xdr:to>
    <xdr:sp>
      <xdr:nvSpPr>
        <xdr:cNvPr id="48" name="lbl_cnt_cnt_scatter_outliers"/>
        <xdr:cNvSpPr txBox="1"/>
      </xdr:nvSpPr>
      <xdr:spPr>
        <a:xfrm>
          <a:off x="9551035" y="609600"/>
          <a:ext cx="190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endParaRPr lang="en-GB" sz="1000" b="1">
            <a:solidFill>
              <a:srgbClr val="808080"/>
            </a:solidFill>
          </a:endParaRPr>
        </a:p>
      </xdr:txBody>
    </xdr:sp>
    <xdr:clientData fPrintsWithSheet="0"/>
  </xdr:twoCellAnchor>
  <xdr:twoCellAnchor editAs="absolute">
    <xdr:from>
      <xdr:col>9</xdr:col>
      <xdr:colOff>396239</xdr:colOff>
      <xdr:row>1</xdr:row>
      <xdr:rowOff>0</xdr:rowOff>
    </xdr:from>
    <xdr:to>
      <xdr:col>11</xdr:col>
      <xdr:colOff>482599</xdr:colOff>
      <xdr:row>2</xdr:row>
      <xdr:rowOff>0</xdr:rowOff>
    </xdr:to>
    <xdr:sp macro="[0]!Control_Change">
      <xdr:nvSpPr>
        <xdr:cNvPr id="19" name="tab1_4"/>
        <xdr:cNvSpPr txBox="1"/>
      </xdr:nvSpPr>
      <xdr:spPr>
        <a:xfrm>
          <a:off x="5815330" y="342900"/>
          <a:ext cx="1286510" cy="2667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chemeClr val="accent1"/>
              </a:solidFill>
            </a:rPr>
            <a:t>SCATTERPLOT</a:t>
          </a:r>
          <a:endParaRPr lang="en-GB" sz="1200" b="1">
            <a:solidFill>
              <a:schemeClr val="accent1"/>
            </a:solidFill>
          </a:endParaRPr>
        </a:p>
      </xdr:txBody>
    </xdr:sp>
    <xdr:clientData fPrintsWithSheet="0"/>
  </xdr:twoCellAnchor>
  <xdr:twoCellAnchor editAs="absolute">
    <xdr:from>
      <xdr:col>11</xdr:col>
      <xdr:colOff>544193</xdr:colOff>
      <xdr:row>1</xdr:row>
      <xdr:rowOff>0</xdr:rowOff>
    </xdr:from>
    <xdr:to>
      <xdr:col>13</xdr:col>
      <xdr:colOff>171450</xdr:colOff>
      <xdr:row>2</xdr:row>
      <xdr:rowOff>0</xdr:rowOff>
    </xdr:to>
    <xdr:sp macro="[0]!Control_Change">
      <xdr:nvSpPr>
        <xdr:cNvPr id="21" name="tab1_6"/>
        <xdr:cNvSpPr txBox="1"/>
      </xdr:nvSpPr>
      <xdr:spPr>
        <a:xfrm>
          <a:off x="7163435" y="342900"/>
          <a:ext cx="82804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SCORES</a:t>
          </a:r>
          <a:endParaRPr lang="en-GB" sz="1200" b="1">
            <a:solidFill>
              <a:srgbClr val="808080"/>
            </a:solidFill>
          </a:endParaRPr>
        </a:p>
      </xdr:txBody>
    </xdr:sp>
    <xdr:clientData fPrintsWithSheet="0"/>
  </xdr:twoCellAnchor>
  <xdr:twoCellAnchor editAs="absolute">
    <xdr:from>
      <xdr:col>13</xdr:col>
      <xdr:colOff>209550</xdr:colOff>
      <xdr:row>1</xdr:row>
      <xdr:rowOff>0</xdr:rowOff>
    </xdr:from>
    <xdr:to>
      <xdr:col>15</xdr:col>
      <xdr:colOff>806447</xdr:colOff>
      <xdr:row>2</xdr:row>
      <xdr:rowOff>0</xdr:rowOff>
    </xdr:to>
    <xdr:sp macro="[0]!Control_Change">
      <xdr:nvSpPr>
        <xdr:cNvPr id="22" name="tab1_7"/>
        <xdr:cNvSpPr txBox="1"/>
      </xdr:nvSpPr>
      <xdr:spPr>
        <a:xfrm>
          <a:off x="8029575" y="342900"/>
          <a:ext cx="98679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WEIGHTS</a:t>
          </a:r>
          <a:endParaRPr lang="en-GB" sz="1200" b="1">
            <a:solidFill>
              <a:srgbClr val="808080"/>
            </a:solidFill>
          </a:endParaRPr>
        </a:p>
      </xdr:txBody>
    </xdr:sp>
    <xdr:clientData fPrintsWithSheet="0"/>
  </xdr:twoCellAnchor>
  <xdr:twoCellAnchor editAs="absolute">
    <xdr:from>
      <xdr:col>6</xdr:col>
      <xdr:colOff>571501</xdr:colOff>
      <xdr:row>1</xdr:row>
      <xdr:rowOff>1</xdr:rowOff>
    </xdr:from>
    <xdr:to>
      <xdr:col>9</xdr:col>
      <xdr:colOff>466725</xdr:colOff>
      <xdr:row>2</xdr:row>
      <xdr:rowOff>1</xdr:rowOff>
    </xdr:to>
    <xdr:sp macro="[0]!Control_Change">
      <xdr:nvSpPr>
        <xdr:cNvPr id="23" name="tab1_3"/>
        <xdr:cNvSpPr txBox="1"/>
      </xdr:nvSpPr>
      <xdr:spPr>
        <a:xfrm>
          <a:off x="4191000" y="342900"/>
          <a:ext cx="16954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CITY COMPARISON</a:t>
          </a:r>
          <a:endParaRPr lang="en-GB" sz="1200" b="1">
            <a:solidFill>
              <a:srgbClr val="808080"/>
            </a:solidFill>
          </a:endParaRPr>
        </a:p>
      </xdr:txBody>
    </xdr:sp>
    <xdr:clientData fPrintsWithSheet="0"/>
  </xdr:twoCellAnchor>
  <xdr:twoCellAnchor>
    <xdr:from>
      <xdr:col>0</xdr:col>
      <xdr:colOff>152400</xdr:colOff>
      <xdr:row>7</xdr:row>
      <xdr:rowOff>19050</xdr:rowOff>
    </xdr:from>
    <xdr:to>
      <xdr:col>13</xdr:col>
      <xdr:colOff>371475</xdr:colOff>
      <xdr:row>34</xdr:row>
      <xdr:rowOff>142875</xdr:rowOff>
    </xdr:to>
    <xdr:graphicFrame>
      <xdr:nvGraphicFramePr>
        <xdr:cNvPr id="26" name="chtScatter"/>
        <xdr:cNvGraphicFramePr/>
      </xdr:nvGraphicFramePr>
      <xdr:xfrm>
        <a:off x="152400" y="1914525"/>
        <a:ext cx="8039100" cy="526732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276226</xdr:colOff>
      <xdr:row>3</xdr:row>
      <xdr:rowOff>0</xdr:rowOff>
    </xdr:from>
    <xdr:to>
      <xdr:col>13</xdr:col>
      <xdr:colOff>276226</xdr:colOff>
      <xdr:row>4</xdr:row>
      <xdr:rowOff>47625</xdr:rowOff>
    </xdr:to>
    <xdr:sp>
      <xdr:nvSpPr>
        <xdr:cNvPr id="27" name="lbl_cnt_cnt_Country_Highlight"/>
        <xdr:cNvSpPr txBox="1"/>
      </xdr:nvSpPr>
      <xdr:spPr>
        <a:xfrm>
          <a:off x="6896100" y="1085850"/>
          <a:ext cx="12001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rgbClr val="808080"/>
              </a:solidFill>
            </a:rPr>
            <a:t>HIGHLIGHT GROUP</a:t>
          </a:r>
          <a:endParaRPr lang="en-GB" sz="1000" b="1">
            <a:solidFill>
              <a:srgbClr val="808080"/>
            </a:solidFill>
          </a:endParaRPr>
        </a:p>
      </xdr:txBody>
    </xdr:sp>
    <xdr:clientData fPrintsWithSheet="0"/>
  </xdr:twoCellAnchor>
  <xdr:twoCellAnchor editAs="absolute">
    <xdr:from>
      <xdr:col>15</xdr:col>
      <xdr:colOff>38100</xdr:colOff>
      <xdr:row>3</xdr:row>
      <xdr:rowOff>0</xdr:rowOff>
    </xdr:from>
    <xdr:to>
      <xdr:col>16</xdr:col>
      <xdr:colOff>228601</xdr:colOff>
      <xdr:row>4</xdr:row>
      <xdr:rowOff>47625</xdr:rowOff>
    </xdr:to>
    <xdr:sp>
      <xdr:nvSpPr>
        <xdr:cNvPr id="25" name="lbl_cnt_cnt_Country_Highlight"/>
        <xdr:cNvSpPr txBox="1"/>
      </xdr:nvSpPr>
      <xdr:spPr>
        <a:xfrm>
          <a:off x="8248650" y="1085850"/>
          <a:ext cx="12192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rgbClr val="808080"/>
              </a:solidFill>
            </a:rPr>
            <a:t>FILTER GROUP</a:t>
          </a:r>
          <a:endParaRPr lang="en-GB" sz="1000" b="1">
            <a:solidFill>
              <a:srgbClr val="808080"/>
            </a:solidFill>
          </a:endParaRPr>
        </a:p>
      </xdr:txBody>
    </xdr:sp>
    <xdr:clientData fPrintsWithSheet="0"/>
  </xdr:twoCellAnchor>
  <xdr:twoCellAnchor editAs="oneCell">
    <xdr:from>
      <xdr:col>0</xdr:col>
      <xdr:colOff>114300</xdr:colOff>
      <xdr:row>0</xdr:row>
      <xdr:rowOff>47625</xdr:rowOff>
    </xdr:from>
    <xdr:to>
      <xdr:col>2</xdr:col>
      <xdr:colOff>158418</xdr:colOff>
      <xdr:row>1</xdr:row>
      <xdr:rowOff>15750</xdr:rowOff>
    </xdr:to>
    <xdr:pic>
      <xdr:nvPicPr>
        <xdr:cNvPr id="28" name="Picture 27" descr="eiulogo">
          <a:hlinkClick xmlns:r="http://schemas.openxmlformats.org/officeDocument/2006/relationships" r:id="rId3"/>
        </xdr:cNvPr>
        <xdr:cNvPicPr>
          <a:picLocks noChangeAspect="1" noChangeArrowheads="1"/>
        </xdr:cNvPicPr>
      </xdr:nvPicPr>
      <xdr:blipFill>
        <a:blip r:embed="rId4" cstate="print"/>
        <a:srcRect/>
        <a:stretch>
          <a:fillRect/>
        </a:stretch>
      </xdr:blipFill>
      <xdr:spPr>
        <a:xfrm>
          <a:off x="114300" y="47625"/>
          <a:ext cx="1263015" cy="31051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absolute">
        <xdr:from>
          <xdr:col>0</xdr:col>
          <xdr:colOff>123825</xdr:colOff>
          <xdr:row>2</xdr:row>
          <xdr:rowOff>228600</xdr:rowOff>
        </xdr:from>
        <xdr:to>
          <xdr:col>5</xdr:col>
          <xdr:colOff>371475</xdr:colOff>
          <xdr:row>2</xdr:row>
          <xdr:rowOff>428625</xdr:rowOff>
        </xdr:to>
        <xdr:sp macro="[0]!Control_Change">
          <xdr:nvSpPr>
            <xdr:cNvPr id="592975" name="cnt_scatter_x" hidden="1">
              <a:extLst>
                <a:ext uri="{63B3BB69-23CF-44E3-9099-C40C66FF867C}">
                  <a14:compatExt spid="_x0000_s592975"/>
                </a:ext>
              </a:extLst>
            </xdr:cNvPr>
            <xdr:cNvSpPr/>
          </xdr:nvSpPr>
          <xdr:spPr>
            <a:xfrm>
              <a:off x="123825" y="838200"/>
              <a:ext cx="3267075" cy="200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504825</xdr:colOff>
          <xdr:row>2</xdr:row>
          <xdr:rowOff>228600</xdr:rowOff>
        </xdr:from>
        <xdr:to>
          <xdr:col>11</xdr:col>
          <xdr:colOff>142875</xdr:colOff>
          <xdr:row>2</xdr:row>
          <xdr:rowOff>428625</xdr:rowOff>
        </xdr:to>
        <xdr:sp macro="[0]!Control_Change">
          <xdr:nvSpPr>
            <xdr:cNvPr id="592976" name="cnt_scatter_y" hidden="1">
              <a:extLst>
                <a:ext uri="{63B3BB69-23CF-44E3-9099-C40C66FF867C}">
                  <a14:compatExt spid="_x0000_s592976"/>
                </a:ext>
              </a:extLst>
            </xdr:cNvPr>
            <xdr:cNvSpPr/>
          </xdr:nvSpPr>
          <xdr:spPr>
            <a:xfrm>
              <a:off x="3524250" y="838200"/>
              <a:ext cx="3238500" cy="200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266700</xdr:colOff>
          <xdr:row>2</xdr:row>
          <xdr:rowOff>228600</xdr:rowOff>
        </xdr:from>
        <xdr:to>
          <xdr:col>13</xdr:col>
          <xdr:colOff>219075</xdr:colOff>
          <xdr:row>2</xdr:row>
          <xdr:rowOff>428625</xdr:rowOff>
        </xdr:to>
        <xdr:sp macro="[0]!Control_Change">
          <xdr:nvSpPr>
            <xdr:cNvPr id="592977" name="cnt_Country_Highlight" hidden="1">
              <a:extLst>
                <a:ext uri="{63B3BB69-23CF-44E3-9099-C40C66FF867C}">
                  <a14:compatExt spid="_x0000_s592977"/>
                </a:ext>
              </a:extLst>
            </xdr:cNvPr>
            <xdr:cNvSpPr/>
          </xdr:nvSpPr>
          <xdr:spPr>
            <a:xfrm>
              <a:off x="6886575" y="838200"/>
              <a:ext cx="1152525" cy="200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371475</xdr:colOff>
          <xdr:row>2</xdr:row>
          <xdr:rowOff>228600</xdr:rowOff>
        </xdr:from>
        <xdr:to>
          <xdr:col>16</xdr:col>
          <xdr:colOff>180975</xdr:colOff>
          <xdr:row>2</xdr:row>
          <xdr:rowOff>447675</xdr:rowOff>
        </xdr:to>
        <xdr:sp macro="[0]!Control_Change">
          <xdr:nvSpPr>
            <xdr:cNvPr id="592978" name="cnt_scatter_labels" hidden="1">
              <a:extLst>
                <a:ext uri="{63B3BB69-23CF-44E3-9099-C40C66FF867C}">
                  <a14:compatExt spid="_x0000_s592978"/>
                </a:ext>
              </a:extLst>
            </xdr:cNvPr>
            <xdr:cNvSpPr/>
          </xdr:nvSpPr>
          <xdr:spPr>
            <a:xfrm>
              <a:off x="8191500" y="838200"/>
              <a:ext cx="1228725" cy="21907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panose="020B0604030504040204"/>
                  <a:ea typeface="Tahoma" panose="020B0604030504040204"/>
                  <a:cs typeface="Tahoma" panose="020B0604030504040204"/>
                </a:rPr>
                <a:t>Display country names</a:t>
              </a:r>
              <a:endParaRPr lang="en-US" sz="800" b="0" i="0" u="none" strike="noStrike" baseline="0">
                <a:solidFill>
                  <a:srgbClr val="000000"/>
                </a:solidFill>
                <a:latin typeface="Tahoma" panose="020B0604030504040204"/>
                <a:ea typeface="Tahoma" panose="020B0604030504040204"/>
                <a:cs typeface="Tahoma" panose="020B0604030504040204"/>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314325</xdr:colOff>
          <xdr:row>2</xdr:row>
          <xdr:rowOff>228600</xdr:rowOff>
        </xdr:from>
        <xdr:to>
          <xdr:col>18</xdr:col>
          <xdr:colOff>85725</xdr:colOff>
          <xdr:row>2</xdr:row>
          <xdr:rowOff>447675</xdr:rowOff>
        </xdr:to>
        <xdr:sp macro="[0]!Control_Change">
          <xdr:nvSpPr>
            <xdr:cNvPr id="592979" name="cnt_scatter_outliers" hidden="1">
              <a:extLst>
                <a:ext uri="{63B3BB69-23CF-44E3-9099-C40C66FF867C}">
                  <a14:compatExt spid="_x0000_s592979"/>
                </a:ext>
              </a:extLst>
            </xdr:cNvPr>
            <xdr:cNvSpPr/>
          </xdr:nvSpPr>
          <xdr:spPr>
            <a:xfrm>
              <a:off x="9553575" y="838200"/>
              <a:ext cx="1400175" cy="21907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panose="020B0604030504040204"/>
                  <a:ea typeface="Tahoma" panose="020B0604030504040204"/>
                  <a:cs typeface="Tahoma" panose="020B0604030504040204"/>
                </a:rPr>
                <a:t>Show outliers (blue dots)</a:t>
              </a:r>
              <a:endParaRPr lang="en-US" sz="800" b="0" i="0" u="none" strike="noStrike" baseline="0">
                <a:solidFill>
                  <a:srgbClr val="000000"/>
                </a:solidFill>
                <a:latin typeface="Tahoma" panose="020B0604030504040204"/>
                <a:ea typeface="Tahoma" panose="020B0604030504040204"/>
                <a:cs typeface="Tahoma" panose="020B0604030504040204"/>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276225</xdr:colOff>
          <xdr:row>4</xdr:row>
          <xdr:rowOff>38100</xdr:rowOff>
        </xdr:from>
        <xdr:to>
          <xdr:col>13</xdr:col>
          <xdr:colOff>247650</xdr:colOff>
          <xdr:row>5</xdr:row>
          <xdr:rowOff>9525</xdr:rowOff>
        </xdr:to>
        <xdr:sp macro="[0]!Control_Change">
          <xdr:nvSpPr>
            <xdr:cNvPr id="592980" name="Drop Down 84" hidden="1">
              <a:extLst>
                <a:ext uri="{63B3BB69-23CF-44E3-9099-C40C66FF867C}">
                  <a14:compatExt spid="_x0000_s592980"/>
                </a:ext>
              </a:extLst>
            </xdr:cNvPr>
            <xdr:cNvSpPr/>
          </xdr:nvSpPr>
          <xdr:spPr>
            <a:xfrm>
              <a:off x="6896100" y="1314450"/>
              <a:ext cx="1171575" cy="2095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28575</xdr:colOff>
          <xdr:row>4</xdr:row>
          <xdr:rowOff>38100</xdr:rowOff>
        </xdr:from>
        <xdr:to>
          <xdr:col>16</xdr:col>
          <xdr:colOff>247650</xdr:colOff>
          <xdr:row>5</xdr:row>
          <xdr:rowOff>9525</xdr:rowOff>
        </xdr:to>
        <xdr:sp macro="[0]!Control_Change">
          <xdr:nvSpPr>
            <xdr:cNvPr id="592981" name="cnt_highlight_group" hidden="1">
              <a:extLst>
                <a:ext uri="{63B3BB69-23CF-44E3-9099-C40C66FF867C}">
                  <a14:compatExt spid="_x0000_s592981"/>
                </a:ext>
              </a:extLst>
            </xdr:cNvPr>
            <xdr:cNvSpPr/>
          </xdr:nvSpPr>
          <xdr:spPr>
            <a:xfrm>
              <a:off x="8239125" y="1314450"/>
              <a:ext cx="1247775" cy="209550"/>
            </a:xfrm>
            <a:prstGeom prst="rect">
              <a:avLst/>
            </a:prstGeom>
          </xdr:spPr>
        </xdr:sp>
        <xdr:clientData fPrintsWithSheet="0"/>
      </xdr:twoCellAnchor>
    </mc:Choice>
    <mc:Fallback/>
  </mc:AlternateContent>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absolute">
    <xdr:from>
      <xdr:col>18</xdr:col>
      <xdr:colOff>796925</xdr:colOff>
      <xdr:row>0</xdr:row>
      <xdr:rowOff>82550</xdr:rowOff>
    </xdr:from>
    <xdr:to>
      <xdr:col>19</xdr:col>
      <xdr:colOff>273050</xdr:colOff>
      <xdr:row>1</xdr:row>
      <xdr:rowOff>177800</xdr:rowOff>
    </xdr:to>
    <xdr:pic macro="[0]!Control_Change">
      <xdr:nvPicPr>
        <xdr:cNvPr id="23" name="pdf" descr="1372801245_pdf.png"/>
        <xdr:cNvPicPr>
          <a:picLocks noChangeAspect="1"/>
        </xdr:cNvPicPr>
      </xdr:nvPicPr>
      <xdr:blipFill>
        <a:blip r:embed="rId1" cstate="print"/>
        <a:srcRect/>
        <a:stretch>
          <a:fillRect/>
        </a:stretch>
      </xdr:blipFill>
      <xdr:spPr>
        <a:xfrm>
          <a:off x="10807700" y="82550"/>
          <a:ext cx="438150" cy="438150"/>
        </a:xfrm>
        <a:prstGeom prst="rect">
          <a:avLst/>
        </a:prstGeom>
        <a:noFill/>
        <a:ln w="9525">
          <a:noFill/>
          <a:miter lim="800000"/>
          <a:headEnd/>
          <a:tailEnd/>
        </a:ln>
      </xdr:spPr>
    </xdr:pic>
    <xdr:clientData fPrintsWithSheet="0"/>
  </xdr:twoCellAnchor>
  <xdr:twoCellAnchor editAs="absolute">
    <xdr:from>
      <xdr:col>0</xdr:col>
      <xdr:colOff>0</xdr:colOff>
      <xdr:row>1</xdr:row>
      <xdr:rowOff>266699</xdr:rowOff>
    </xdr:from>
    <xdr:to>
      <xdr:col>19</xdr:col>
      <xdr:colOff>266700</xdr:colOff>
      <xdr:row>2</xdr:row>
      <xdr:rowOff>476249</xdr:rowOff>
    </xdr:to>
    <xdr:sp>
      <xdr:nvSpPr>
        <xdr:cNvPr id="24" name="nav_controls"/>
        <xdr:cNvSpPr/>
      </xdr:nvSpPr>
      <xdr:spPr>
        <a:xfrm>
          <a:off x="0" y="608965"/>
          <a:ext cx="11239500" cy="476250"/>
        </a:xfrm>
        <a:prstGeom prst="rect">
          <a:avLst/>
        </a:prstGeom>
        <a:solidFill>
          <a:srgbClr val="F0F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editAs="absolute">
    <xdr:from>
      <xdr:col>0</xdr:col>
      <xdr:colOff>0</xdr:colOff>
      <xdr:row>0</xdr:row>
      <xdr:rowOff>342899</xdr:rowOff>
    </xdr:from>
    <xdr:to>
      <xdr:col>11</xdr:col>
      <xdr:colOff>810260</xdr:colOff>
      <xdr:row>1</xdr:row>
      <xdr:rowOff>266699</xdr:rowOff>
    </xdr:to>
    <xdr:sp macro="[0]!Control_Change">
      <xdr:nvSpPr>
        <xdr:cNvPr id="25" name="tab1_0"/>
        <xdr:cNvSpPr txBox="1"/>
      </xdr:nvSpPr>
      <xdr:spPr>
        <a:xfrm>
          <a:off x="0" y="342265"/>
          <a:ext cx="107696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SUMMARY</a:t>
          </a:r>
          <a:endParaRPr lang="en-GB" sz="1200" b="1">
            <a:solidFill>
              <a:srgbClr val="808080"/>
            </a:solidFill>
          </a:endParaRPr>
        </a:p>
      </xdr:txBody>
    </xdr:sp>
    <xdr:clientData fPrintsWithSheet="0"/>
  </xdr:twoCellAnchor>
  <xdr:twoCellAnchor editAs="absolute">
    <xdr:from>
      <xdr:col>11</xdr:col>
      <xdr:colOff>810259</xdr:colOff>
      <xdr:row>0</xdr:row>
      <xdr:rowOff>342899</xdr:rowOff>
    </xdr:from>
    <xdr:to>
      <xdr:col>11</xdr:col>
      <xdr:colOff>2496819</xdr:colOff>
      <xdr:row>1</xdr:row>
      <xdr:rowOff>266699</xdr:rowOff>
    </xdr:to>
    <xdr:sp macro="[0]!Control_Change">
      <xdr:nvSpPr>
        <xdr:cNvPr id="26" name="tab1_1"/>
        <xdr:cNvSpPr txBox="1"/>
      </xdr:nvSpPr>
      <xdr:spPr>
        <a:xfrm>
          <a:off x="1076325" y="342265"/>
          <a:ext cx="168656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INDICATOR RANKS</a:t>
          </a:r>
          <a:endParaRPr lang="en-GB" sz="1200" b="1">
            <a:solidFill>
              <a:srgbClr val="808080"/>
            </a:solidFill>
          </a:endParaRPr>
        </a:p>
      </xdr:txBody>
    </xdr:sp>
    <xdr:clientData fPrintsWithSheet="0"/>
  </xdr:twoCellAnchor>
  <xdr:twoCellAnchor editAs="absolute">
    <xdr:from>
      <xdr:col>11</xdr:col>
      <xdr:colOff>2496819</xdr:colOff>
      <xdr:row>0</xdr:row>
      <xdr:rowOff>342899</xdr:rowOff>
    </xdr:from>
    <xdr:to>
      <xdr:col>11</xdr:col>
      <xdr:colOff>4168139</xdr:colOff>
      <xdr:row>1</xdr:row>
      <xdr:rowOff>266699</xdr:rowOff>
    </xdr:to>
    <xdr:sp macro="[0]!Control_Change">
      <xdr:nvSpPr>
        <xdr:cNvPr id="27" name="tab1_2"/>
        <xdr:cNvSpPr txBox="1"/>
      </xdr:nvSpPr>
      <xdr:spPr>
        <a:xfrm>
          <a:off x="2762885" y="342265"/>
          <a:ext cx="167132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CITY PROFILE</a:t>
          </a:r>
          <a:endParaRPr lang="en-GB" sz="1200" b="1">
            <a:solidFill>
              <a:srgbClr val="808080"/>
            </a:solidFill>
          </a:endParaRPr>
        </a:p>
      </xdr:txBody>
    </xdr:sp>
    <xdr:clientData fPrintsWithSheet="0"/>
  </xdr:twoCellAnchor>
  <xdr:twoCellAnchor editAs="absolute">
    <xdr:from>
      <xdr:col>13</xdr:col>
      <xdr:colOff>758189</xdr:colOff>
      <xdr:row>1</xdr:row>
      <xdr:rowOff>0</xdr:rowOff>
    </xdr:from>
    <xdr:to>
      <xdr:col>15</xdr:col>
      <xdr:colOff>139699</xdr:colOff>
      <xdr:row>2</xdr:row>
      <xdr:rowOff>0</xdr:rowOff>
    </xdr:to>
    <xdr:sp macro="[0]!Control_Change">
      <xdr:nvSpPr>
        <xdr:cNvPr id="12" name="tab1_4"/>
        <xdr:cNvSpPr txBox="1"/>
      </xdr:nvSpPr>
      <xdr:spPr>
        <a:xfrm>
          <a:off x="5958205" y="342900"/>
          <a:ext cx="130556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SCATTERPLOT</a:t>
          </a:r>
          <a:endParaRPr lang="en-GB" sz="1200" b="1">
            <a:solidFill>
              <a:srgbClr val="808080"/>
            </a:solidFill>
          </a:endParaRPr>
        </a:p>
      </xdr:txBody>
    </xdr:sp>
    <xdr:clientData fPrintsWithSheet="0"/>
  </xdr:twoCellAnchor>
  <xdr:twoCellAnchor editAs="absolute">
    <xdr:from>
      <xdr:col>15</xdr:col>
      <xdr:colOff>182243</xdr:colOff>
      <xdr:row>1</xdr:row>
      <xdr:rowOff>0</xdr:rowOff>
    </xdr:from>
    <xdr:to>
      <xdr:col>16</xdr:col>
      <xdr:colOff>68578</xdr:colOff>
      <xdr:row>2</xdr:row>
      <xdr:rowOff>0</xdr:rowOff>
    </xdr:to>
    <xdr:sp macro="[0]!Control_Change">
      <xdr:nvSpPr>
        <xdr:cNvPr id="14" name="tab1_6"/>
        <xdr:cNvSpPr txBox="1"/>
      </xdr:nvSpPr>
      <xdr:spPr>
        <a:xfrm>
          <a:off x="7306310" y="342900"/>
          <a:ext cx="848360" cy="2667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chemeClr val="accent1"/>
              </a:solidFill>
            </a:rPr>
            <a:t>SCORES</a:t>
          </a:r>
          <a:endParaRPr lang="en-GB" sz="1200" b="1">
            <a:solidFill>
              <a:schemeClr val="accent1"/>
            </a:solidFill>
          </a:endParaRPr>
        </a:p>
      </xdr:txBody>
    </xdr:sp>
    <xdr:clientData fPrintsWithSheet="0"/>
  </xdr:twoCellAnchor>
  <xdr:twoCellAnchor editAs="absolute">
    <xdr:from>
      <xdr:col>16</xdr:col>
      <xdr:colOff>30478</xdr:colOff>
      <xdr:row>1</xdr:row>
      <xdr:rowOff>0</xdr:rowOff>
    </xdr:from>
    <xdr:to>
      <xdr:col>17</xdr:col>
      <xdr:colOff>53972</xdr:colOff>
      <xdr:row>2</xdr:row>
      <xdr:rowOff>0</xdr:rowOff>
    </xdr:to>
    <xdr:sp macro="[0]!Control_Change">
      <xdr:nvSpPr>
        <xdr:cNvPr id="15" name="tab1_7"/>
        <xdr:cNvSpPr txBox="1"/>
      </xdr:nvSpPr>
      <xdr:spPr>
        <a:xfrm>
          <a:off x="8116570" y="342900"/>
          <a:ext cx="98552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WEIGHTS</a:t>
          </a:r>
          <a:endParaRPr lang="en-GB" sz="1200" b="1">
            <a:solidFill>
              <a:srgbClr val="808080"/>
            </a:solidFill>
          </a:endParaRPr>
        </a:p>
      </xdr:txBody>
    </xdr:sp>
    <xdr:clientData fPrintsWithSheet="0"/>
  </xdr:twoCellAnchor>
  <xdr:twoCellAnchor editAs="absolute">
    <xdr:from>
      <xdr:col>11</xdr:col>
      <xdr:colOff>4029075</xdr:colOff>
      <xdr:row>1</xdr:row>
      <xdr:rowOff>1</xdr:rowOff>
    </xdr:from>
    <xdr:to>
      <xdr:col>13</xdr:col>
      <xdr:colOff>847724</xdr:colOff>
      <xdr:row>2</xdr:row>
      <xdr:rowOff>1</xdr:rowOff>
    </xdr:to>
    <xdr:sp macro="[0]!Control_Change">
      <xdr:nvSpPr>
        <xdr:cNvPr id="16" name="tab1_3"/>
        <xdr:cNvSpPr txBox="1"/>
      </xdr:nvSpPr>
      <xdr:spPr>
        <a:xfrm>
          <a:off x="4295775" y="342900"/>
          <a:ext cx="175196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CITY COMPARISON</a:t>
          </a:r>
          <a:endParaRPr lang="en-GB" sz="1200" b="1">
            <a:solidFill>
              <a:srgbClr val="808080"/>
            </a:solidFill>
          </a:endParaRPr>
        </a:p>
      </xdr:txBody>
    </xdr:sp>
    <xdr:clientData fPrintsWithSheet="0"/>
  </xdr:twoCellAnchor>
  <xdr:twoCellAnchor editAs="oneCell">
    <xdr:from>
      <xdr:col>0</xdr:col>
      <xdr:colOff>95250</xdr:colOff>
      <xdr:row>0</xdr:row>
      <xdr:rowOff>47625</xdr:rowOff>
    </xdr:from>
    <xdr:to>
      <xdr:col>11</xdr:col>
      <xdr:colOff>1091868</xdr:colOff>
      <xdr:row>1</xdr:row>
      <xdr:rowOff>15750</xdr:rowOff>
    </xdr:to>
    <xdr:pic>
      <xdr:nvPicPr>
        <xdr:cNvPr id="13" name="Picture 12" descr="eiulogo">
          <a:hlinkClick xmlns:r="http://schemas.openxmlformats.org/officeDocument/2006/relationships" r:id="rId2"/>
        </xdr:cNvPr>
        <xdr:cNvPicPr>
          <a:picLocks noChangeAspect="1" noChangeArrowheads="1"/>
        </xdr:cNvPicPr>
      </xdr:nvPicPr>
      <xdr:blipFill>
        <a:blip r:embed="rId3" cstate="print"/>
        <a:srcRect/>
        <a:stretch>
          <a:fillRect/>
        </a:stretch>
      </xdr:blipFill>
      <xdr:spPr>
        <a:xfrm>
          <a:off x="95250" y="47625"/>
          <a:ext cx="1263015" cy="31051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17</xdr:col>
          <xdr:colOff>238125</xdr:colOff>
          <xdr:row>2</xdr:row>
          <xdr:rowOff>123825</xdr:rowOff>
        </xdr:from>
        <xdr:to>
          <xdr:col>19</xdr:col>
          <xdr:colOff>19050</xdr:colOff>
          <xdr:row>2</xdr:row>
          <xdr:rowOff>342900</xdr:rowOff>
        </xdr:to>
        <xdr:sp>
          <xdr:nvSpPr>
            <xdr:cNvPr id="612353" name="Check Box 1" hidden="1">
              <a:extLst>
                <a:ext uri="{63B3BB69-23CF-44E3-9099-C40C66FF867C}">
                  <a14:compatExt spid="_x0000_s612353"/>
                </a:ext>
              </a:extLst>
            </xdr:cNvPr>
            <xdr:cNvSpPr/>
          </xdr:nvSpPr>
          <xdr:spPr>
            <a:xfrm>
              <a:off x="9286875" y="733425"/>
              <a:ext cx="1704975" cy="21907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panose="020B0604030504040204"/>
                  <a:ea typeface="Tahoma" panose="020B0604030504040204"/>
                  <a:cs typeface="Tahoma" panose="020B0604030504040204"/>
                </a:rPr>
                <a:t>Click for Output/Input Ratios</a:t>
              </a:r>
              <a:endParaRPr 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mc:Choice>
    <mc:Fallback/>
  </mc:AlternateContent>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absolute">
    <xdr:from>
      <xdr:col>10</xdr:col>
      <xdr:colOff>806450</xdr:colOff>
      <xdr:row>0</xdr:row>
      <xdr:rowOff>82550</xdr:rowOff>
    </xdr:from>
    <xdr:to>
      <xdr:col>11</xdr:col>
      <xdr:colOff>349250</xdr:colOff>
      <xdr:row>1</xdr:row>
      <xdr:rowOff>177800</xdr:rowOff>
    </xdr:to>
    <xdr:pic macro="[0]!Control_Change">
      <xdr:nvPicPr>
        <xdr:cNvPr id="23" name="pdf" descr="1372801245_pdf.png"/>
        <xdr:cNvPicPr>
          <a:picLocks noChangeAspect="1"/>
        </xdr:cNvPicPr>
      </xdr:nvPicPr>
      <xdr:blipFill>
        <a:blip r:embed="rId1" cstate="print"/>
        <a:srcRect/>
        <a:stretch>
          <a:fillRect/>
        </a:stretch>
      </xdr:blipFill>
      <xdr:spPr>
        <a:xfrm>
          <a:off x="10807700" y="82550"/>
          <a:ext cx="438150" cy="438150"/>
        </a:xfrm>
        <a:prstGeom prst="rect">
          <a:avLst/>
        </a:prstGeom>
        <a:noFill/>
        <a:ln w="9525">
          <a:noFill/>
          <a:miter lim="800000"/>
          <a:headEnd/>
          <a:tailEnd/>
        </a:ln>
      </xdr:spPr>
    </xdr:pic>
    <xdr:clientData fPrintsWithSheet="0"/>
  </xdr:twoCellAnchor>
  <xdr:twoCellAnchor editAs="absolute">
    <xdr:from>
      <xdr:col>0</xdr:col>
      <xdr:colOff>0</xdr:colOff>
      <xdr:row>1</xdr:row>
      <xdr:rowOff>266699</xdr:rowOff>
    </xdr:from>
    <xdr:to>
      <xdr:col>11</xdr:col>
      <xdr:colOff>342900</xdr:colOff>
      <xdr:row>2</xdr:row>
      <xdr:rowOff>476249</xdr:rowOff>
    </xdr:to>
    <xdr:sp>
      <xdr:nvSpPr>
        <xdr:cNvPr id="24" name="nav_controls"/>
        <xdr:cNvSpPr/>
      </xdr:nvSpPr>
      <xdr:spPr>
        <a:xfrm>
          <a:off x="0" y="608965"/>
          <a:ext cx="11239500" cy="476250"/>
        </a:xfrm>
        <a:prstGeom prst="rect">
          <a:avLst/>
        </a:prstGeom>
        <a:solidFill>
          <a:srgbClr val="F0F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editAs="absolute">
    <xdr:from>
      <xdr:col>0</xdr:col>
      <xdr:colOff>0</xdr:colOff>
      <xdr:row>0</xdr:row>
      <xdr:rowOff>342899</xdr:rowOff>
    </xdr:from>
    <xdr:to>
      <xdr:col>4</xdr:col>
      <xdr:colOff>829310</xdr:colOff>
      <xdr:row>1</xdr:row>
      <xdr:rowOff>266699</xdr:rowOff>
    </xdr:to>
    <xdr:sp macro="[0]!Control_Change">
      <xdr:nvSpPr>
        <xdr:cNvPr id="25" name="tab1_0"/>
        <xdr:cNvSpPr txBox="1"/>
      </xdr:nvSpPr>
      <xdr:spPr>
        <a:xfrm>
          <a:off x="0" y="342265"/>
          <a:ext cx="107696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SUMMARY</a:t>
          </a:r>
          <a:endParaRPr lang="en-GB" sz="1200" b="1">
            <a:solidFill>
              <a:srgbClr val="808080"/>
            </a:solidFill>
          </a:endParaRPr>
        </a:p>
      </xdr:txBody>
    </xdr:sp>
    <xdr:clientData fPrintsWithSheet="0"/>
  </xdr:twoCellAnchor>
  <xdr:twoCellAnchor editAs="absolute">
    <xdr:from>
      <xdr:col>4</xdr:col>
      <xdr:colOff>829309</xdr:colOff>
      <xdr:row>0</xdr:row>
      <xdr:rowOff>342899</xdr:rowOff>
    </xdr:from>
    <xdr:to>
      <xdr:col>4</xdr:col>
      <xdr:colOff>2515869</xdr:colOff>
      <xdr:row>1</xdr:row>
      <xdr:rowOff>266699</xdr:rowOff>
    </xdr:to>
    <xdr:sp macro="[0]!Control_Change">
      <xdr:nvSpPr>
        <xdr:cNvPr id="26" name="tab1_1"/>
        <xdr:cNvSpPr txBox="1"/>
      </xdr:nvSpPr>
      <xdr:spPr>
        <a:xfrm>
          <a:off x="1076325" y="342265"/>
          <a:ext cx="168656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INDICATOR RANKS</a:t>
          </a:r>
          <a:endParaRPr lang="en-GB" sz="1200" b="1">
            <a:solidFill>
              <a:srgbClr val="808080"/>
            </a:solidFill>
          </a:endParaRPr>
        </a:p>
      </xdr:txBody>
    </xdr:sp>
    <xdr:clientData fPrintsWithSheet="0"/>
  </xdr:twoCellAnchor>
  <xdr:twoCellAnchor editAs="absolute">
    <xdr:from>
      <xdr:col>4</xdr:col>
      <xdr:colOff>2515869</xdr:colOff>
      <xdr:row>0</xdr:row>
      <xdr:rowOff>342899</xdr:rowOff>
    </xdr:from>
    <xdr:to>
      <xdr:col>5</xdr:col>
      <xdr:colOff>15239</xdr:colOff>
      <xdr:row>1</xdr:row>
      <xdr:rowOff>266699</xdr:rowOff>
    </xdr:to>
    <xdr:sp macro="[0]!Control_Change">
      <xdr:nvSpPr>
        <xdr:cNvPr id="27" name="tab1_2"/>
        <xdr:cNvSpPr txBox="1"/>
      </xdr:nvSpPr>
      <xdr:spPr>
        <a:xfrm>
          <a:off x="2762885" y="342265"/>
          <a:ext cx="167132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CITY PROFILE</a:t>
          </a:r>
          <a:endParaRPr lang="en-GB" sz="1200" b="1">
            <a:solidFill>
              <a:srgbClr val="808080"/>
            </a:solidFill>
          </a:endParaRPr>
        </a:p>
      </xdr:txBody>
    </xdr:sp>
    <xdr:clientData fPrintsWithSheet="0"/>
  </xdr:twoCellAnchor>
  <xdr:twoCellAnchor editAs="absolute">
    <xdr:from>
      <xdr:col>5</xdr:col>
      <xdr:colOff>1586864</xdr:colOff>
      <xdr:row>0</xdr:row>
      <xdr:rowOff>342899</xdr:rowOff>
    </xdr:from>
    <xdr:to>
      <xdr:col>6</xdr:col>
      <xdr:colOff>892174</xdr:colOff>
      <xdr:row>1</xdr:row>
      <xdr:rowOff>266699</xdr:rowOff>
    </xdr:to>
    <xdr:sp macro="[0]!Control_Change">
      <xdr:nvSpPr>
        <xdr:cNvPr id="28" name="tab1_4"/>
        <xdr:cNvSpPr txBox="1"/>
      </xdr:nvSpPr>
      <xdr:spPr>
        <a:xfrm>
          <a:off x="6005830" y="342265"/>
          <a:ext cx="130556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SCATTERPLOT</a:t>
          </a:r>
          <a:endParaRPr lang="en-GB" sz="1200" b="1">
            <a:solidFill>
              <a:srgbClr val="808080"/>
            </a:solidFill>
          </a:endParaRPr>
        </a:p>
      </xdr:txBody>
    </xdr:sp>
    <xdr:clientData fPrintsWithSheet="0"/>
  </xdr:twoCellAnchor>
  <xdr:twoCellAnchor editAs="absolute">
    <xdr:from>
      <xdr:col>6</xdr:col>
      <xdr:colOff>892175</xdr:colOff>
      <xdr:row>0</xdr:row>
      <xdr:rowOff>342899</xdr:rowOff>
    </xdr:from>
    <xdr:to>
      <xdr:col>7</xdr:col>
      <xdr:colOff>677544</xdr:colOff>
      <xdr:row>1</xdr:row>
      <xdr:rowOff>266699</xdr:rowOff>
    </xdr:to>
    <xdr:sp macro="[0]!Control_Change">
      <xdr:nvSpPr>
        <xdr:cNvPr id="29" name="tab1_5"/>
        <xdr:cNvSpPr txBox="1"/>
      </xdr:nvSpPr>
      <xdr:spPr>
        <a:xfrm>
          <a:off x="7312025" y="342265"/>
          <a:ext cx="680085" cy="266700"/>
        </a:xfrm>
        <a:prstGeom prst="rect">
          <a:avLst/>
        </a:prstGeom>
        <a:solidFill>
          <a:srgbClr val="F0F0F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005E9E"/>
              </a:solidFill>
            </a:rPr>
            <a:t>DATA</a:t>
          </a:r>
          <a:endParaRPr lang="en-GB" sz="1200" b="1">
            <a:solidFill>
              <a:srgbClr val="005E9E"/>
            </a:solidFill>
          </a:endParaRPr>
        </a:p>
      </xdr:txBody>
    </xdr:sp>
    <xdr:clientData fPrintsWithSheet="0"/>
  </xdr:twoCellAnchor>
  <xdr:twoCellAnchor editAs="absolute">
    <xdr:from>
      <xdr:col>7</xdr:col>
      <xdr:colOff>620393</xdr:colOff>
      <xdr:row>0</xdr:row>
      <xdr:rowOff>342899</xdr:rowOff>
    </xdr:from>
    <xdr:to>
      <xdr:col>8</xdr:col>
      <xdr:colOff>573403</xdr:colOff>
      <xdr:row>1</xdr:row>
      <xdr:rowOff>266699</xdr:rowOff>
    </xdr:to>
    <xdr:sp macro="[0]!Control_Change">
      <xdr:nvSpPr>
        <xdr:cNvPr id="30" name="tab1_6"/>
        <xdr:cNvSpPr txBox="1"/>
      </xdr:nvSpPr>
      <xdr:spPr>
        <a:xfrm>
          <a:off x="7934960" y="342265"/>
          <a:ext cx="84836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SCORES</a:t>
          </a:r>
          <a:endParaRPr lang="en-GB" sz="1200" b="1">
            <a:solidFill>
              <a:srgbClr val="808080"/>
            </a:solidFill>
          </a:endParaRPr>
        </a:p>
      </xdr:txBody>
    </xdr:sp>
    <xdr:clientData fPrintsWithSheet="0"/>
  </xdr:twoCellAnchor>
  <xdr:twoCellAnchor editAs="absolute">
    <xdr:from>
      <xdr:col>8</xdr:col>
      <xdr:colOff>563878</xdr:colOff>
      <xdr:row>0</xdr:row>
      <xdr:rowOff>342899</xdr:rowOff>
    </xdr:from>
    <xdr:to>
      <xdr:col>9</xdr:col>
      <xdr:colOff>654047</xdr:colOff>
      <xdr:row>1</xdr:row>
      <xdr:rowOff>266699</xdr:rowOff>
    </xdr:to>
    <xdr:sp macro="[0]!Control_Change">
      <xdr:nvSpPr>
        <xdr:cNvPr id="31" name="tab1_7"/>
        <xdr:cNvSpPr txBox="1"/>
      </xdr:nvSpPr>
      <xdr:spPr>
        <a:xfrm>
          <a:off x="8773795" y="342265"/>
          <a:ext cx="98552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WEIGHTS</a:t>
          </a:r>
          <a:endParaRPr lang="en-GB" sz="1200" b="1">
            <a:solidFill>
              <a:srgbClr val="808080"/>
            </a:solidFill>
          </a:endParaRPr>
        </a:p>
      </xdr:txBody>
    </xdr:sp>
    <xdr:clientData fPrintsWithSheet="0"/>
  </xdr:twoCellAnchor>
  <xdr:twoCellAnchor editAs="absolute">
    <xdr:from>
      <xdr:col>4</xdr:col>
      <xdr:colOff>4076700</xdr:colOff>
      <xdr:row>1</xdr:row>
      <xdr:rowOff>0</xdr:rowOff>
    </xdr:from>
    <xdr:to>
      <xdr:col>5</xdr:col>
      <xdr:colOff>1666875</xdr:colOff>
      <xdr:row>2</xdr:row>
      <xdr:rowOff>0</xdr:rowOff>
    </xdr:to>
    <xdr:sp macro="[0]!Control_Change">
      <xdr:nvSpPr>
        <xdr:cNvPr id="12" name="tab1_3"/>
        <xdr:cNvSpPr txBox="1"/>
      </xdr:nvSpPr>
      <xdr:spPr>
        <a:xfrm>
          <a:off x="4324350" y="342900"/>
          <a:ext cx="17621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200" b="1">
              <a:solidFill>
                <a:srgbClr val="808080"/>
              </a:solidFill>
            </a:rPr>
            <a:t>CITY COMPARISON</a:t>
          </a:r>
          <a:endParaRPr lang="en-GB" sz="1200" b="1">
            <a:solidFill>
              <a:srgbClr val="808080"/>
            </a:solidFill>
          </a:endParaRPr>
        </a:p>
      </xdr:txBody>
    </xdr:sp>
    <xdr:clientData fPrintsWithSheet="0"/>
  </xdr:twoCellAnchor>
  <xdr:twoCellAnchor editAs="oneCell">
    <xdr:from>
      <xdr:col>0</xdr:col>
      <xdr:colOff>57150</xdr:colOff>
      <xdr:row>0</xdr:row>
      <xdr:rowOff>57150</xdr:rowOff>
    </xdr:from>
    <xdr:to>
      <xdr:col>4</xdr:col>
      <xdr:colOff>856749</xdr:colOff>
      <xdr:row>0</xdr:row>
      <xdr:rowOff>333374</xdr:rowOff>
    </xdr:to>
    <xdr:pic>
      <xdr:nvPicPr>
        <xdr:cNvPr id="13" name="Picture 12" descr="nec-sq-logo.png">
          <a:hlinkClick xmlns:r="http://schemas.openxmlformats.org/officeDocument/2006/relationships" r:id="rId2"/>
        </xdr:cNvPr>
        <xdr:cNvPicPr>
          <a:picLocks noChangeAspect="1"/>
        </xdr:cNvPicPr>
      </xdr:nvPicPr>
      <xdr:blipFill>
        <a:blip r:embed="rId3" cstate="print"/>
        <a:stretch>
          <a:fillRect/>
        </a:stretch>
      </xdr:blipFill>
      <xdr:spPr>
        <a:xfrm>
          <a:off x="57150" y="57150"/>
          <a:ext cx="1047115" cy="2755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cus\Documents\Economist%20work\Apple%20Manufacturing\AppleMA_DRAFT_v7-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uxbWorks"/>
      <sheetName val="tblIndicators"/>
      <sheetName val="tblIndiSets"/>
      <sheetName val="tblTerritories"/>
      <sheetName val="tblCategories"/>
      <sheetName val="tblYear"/>
      <sheetName val="iMapRank"/>
      <sheetName val="tblMapIndi"/>
      <sheetName val="Cover"/>
      <sheetName val="Index"/>
      <sheetName val="Map"/>
      <sheetName val="iSummary"/>
      <sheetName val="Summary"/>
      <sheetName val="Indicator_Ranking"/>
      <sheetName val="iRank"/>
      <sheetName val="CountrySummary"/>
      <sheetName val="GeoCompare"/>
      <sheetName val="iCompare"/>
      <sheetName val="YearCompare"/>
      <sheetName val="LabourCosts"/>
      <sheetName val="iLabourCosts"/>
      <sheetName val="Manufacturing_Profile"/>
      <sheetName val="iManuProfile"/>
      <sheetName val="Shanghai"/>
      <sheetName val="DataExplanation"/>
      <sheetName val="iShanghai"/>
      <sheetName val="Weights"/>
      <sheetName val="iYearCompare"/>
      <sheetName val="tblYearCompare"/>
      <sheetName val="i_Bubble"/>
      <sheetName val="tblBubble"/>
      <sheetName val="iBubble"/>
      <sheetName val="iData_Select"/>
      <sheetName val="iCountryMap"/>
      <sheetName val="iCountryP"/>
      <sheetName val="iCountryP_Ave"/>
      <sheetName val="iCountryP_Charts"/>
      <sheetName val="iCountryComp"/>
      <sheetName val="iScores_Select"/>
      <sheetName val="iRoundedScores_Select"/>
      <sheetName val="Data2012"/>
      <sheetName val="iScores2012"/>
      <sheetName val="iRoundedScores2012"/>
      <sheetName val="Data2016"/>
      <sheetName val="iIndicatorInfo"/>
      <sheetName val="iIndicatorNotes"/>
      <sheetName val="iManuProfJust"/>
      <sheetName val="iIndicatorSources"/>
      <sheetName val="iScores2016"/>
      <sheetName val="iRoundedScores2016"/>
      <sheetName val="iWeights"/>
    </sheetNames>
    <sheetDataSet>
      <sheetData sheetId="0"/>
      <sheetData sheetId="1"/>
      <sheetData sheetId="2">
        <row r="5">
          <cell r="B5">
            <v>1</v>
          </cell>
          <cell r="C5" t="str">
            <v>OVERALL SCORE</v>
          </cell>
        </row>
        <row r="6">
          <cell r="B6">
            <v>2</v>
          </cell>
          <cell r="C6" t="str">
            <v>1) BUSINESS ENVIRONMENT </v>
          </cell>
        </row>
        <row r="7">
          <cell r="B7">
            <v>25</v>
          </cell>
          <cell r="C7" t="str">
            <v>2) REGULATORY AND INSTITUTIONAL FRAMEWORK </v>
          </cell>
        </row>
        <row r="8">
          <cell r="B8">
            <v>45</v>
          </cell>
          <cell r="C8" t="str">
            <v>3) LABOUR MARKET </v>
          </cell>
        </row>
        <row r="9">
          <cell r="B9">
            <v>69</v>
          </cell>
          <cell r="C9" t="str">
            <v>4) TECHNOLOGY MANUFACTURING INDUSTRY ENVIRONMENT </v>
          </cell>
        </row>
        <row r="10">
          <cell r="B10">
            <v>88</v>
          </cell>
          <cell r="C10" t="str">
            <v>5) INFRASTRUCTURE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6.xml"/><Relationship Id="rId7" Type="http://schemas.openxmlformats.org/officeDocument/2006/relationships/ctrlProp" Target="../ctrlProps/ctrlProp5.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7" Type="http://schemas.openxmlformats.org/officeDocument/2006/relationships/ctrlProp" Target="../ctrlProps/ctrlProp11.xm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 Id="rId3" Type="http://schemas.openxmlformats.org/officeDocument/2006/relationships/ctrlProp" Target="../ctrlProps/ctrlProp7.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5" Type="http://schemas.openxmlformats.org/officeDocument/2006/relationships/ctrlProp" Target="../ctrlProps/ctrlProp14.xml"/><Relationship Id="rId4" Type="http://schemas.openxmlformats.org/officeDocument/2006/relationships/ctrlProp" Target="../ctrlProps/ctrlProp13.xml"/><Relationship Id="rId3" Type="http://schemas.openxmlformats.org/officeDocument/2006/relationships/ctrlProp" Target="../ctrlProps/ctrlProp12.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 Id="rId3" Type="http://schemas.openxmlformats.org/officeDocument/2006/relationships/ctrlProp" Target="../ctrlProps/ctrlProp15.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23.xml.rels><?xml version="1.0" encoding="UTF-8" standalone="yes"?>
<Relationships xmlns="http://schemas.openxmlformats.org/package/2006/relationships"><Relationship Id="rId9" Type="http://schemas.openxmlformats.org/officeDocument/2006/relationships/ctrlProp" Target="../ctrlProps/ctrlProp25.xml"/><Relationship Id="rId8" Type="http://schemas.openxmlformats.org/officeDocument/2006/relationships/ctrlProp" Target="../ctrlProps/ctrlProp24.xml"/><Relationship Id="rId7" Type="http://schemas.openxmlformats.org/officeDocument/2006/relationships/ctrlProp" Target="../ctrlProps/ctrlProp23.xml"/><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 Id="rId3" Type="http://schemas.openxmlformats.org/officeDocument/2006/relationships/ctrlProp" Target="../ctrlProps/ctrlProp19.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24.xml.rels><?xml version="1.0" encoding="UTF-8" standalone="yes"?>
<Relationships xmlns="http://schemas.openxmlformats.org/package/2006/relationships"><Relationship Id="rId3" Type="http://schemas.openxmlformats.org/officeDocument/2006/relationships/ctrlProp" Target="../ctrlProps/ctrlProp2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6.xml.rels><?xml version="1.0" encoding="UTF-8" standalone="yes"?>
<Relationships xmlns="http://schemas.openxmlformats.org/package/2006/relationships"><Relationship Id="rId4" Type="http://schemas.openxmlformats.org/officeDocument/2006/relationships/ctrlProp" Target="../ctrlProps/ctrlProp28.xml"/><Relationship Id="rId3" Type="http://schemas.openxmlformats.org/officeDocument/2006/relationships/ctrlProp" Target="../ctrlProps/ctrlProp27.xml"/><Relationship Id="rId2" Type="http://schemas.openxmlformats.org/officeDocument/2006/relationships/vmlDrawing" Target="../drawings/vmlDrawing7.vml"/><Relationship Id="rId1" Type="http://schemas.openxmlformats.org/officeDocument/2006/relationships/drawing" Target="../drawings/drawing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theme="9" tint="-0.249977111117893"/>
  </sheetPr>
  <dimension ref="A4:AD45"/>
  <sheetViews>
    <sheetView workbookViewId="0">
      <selection activeCell="A16" sqref="A16"/>
    </sheetView>
  </sheetViews>
  <sheetFormatPr defaultColWidth="9" defaultRowHeight="11.25"/>
  <cols>
    <col min="1" max="1" width="23.2857142857143" style="24" customWidth="1"/>
    <col min="2" max="16384" width="9.14285714285714" style="24"/>
  </cols>
  <sheetData>
    <row r="4" spans="1:2">
      <c r="A4" s="24" t="s">
        <v>0</v>
      </c>
      <c r="B4" s="24">
        <v>1</v>
      </c>
    </row>
    <row r="5" spans="1:2">
      <c r="A5" s="24" t="s">
        <v>1</v>
      </c>
      <c r="B5" s="24">
        <v>50</v>
      </c>
    </row>
    <row r="7" spans="1:2">
      <c r="A7" s="85" t="s">
        <v>2</v>
      </c>
      <c r="B7" s="238">
        <v>1</v>
      </c>
    </row>
    <row r="8" spans="3:5">
      <c r="C8" s="24" t="s">
        <v>3</v>
      </c>
      <c r="E8" s="24" t="s">
        <v>4</v>
      </c>
    </row>
    <row r="9" spans="1:5">
      <c r="A9" s="24" t="s">
        <v>5</v>
      </c>
      <c r="B9" s="24" t="b">
        <v>0</v>
      </c>
      <c r="C9" s="24">
        <f>INDEX(iWeights!H10:Q10,1,uxbWorks!B7)</f>
        <v>1</v>
      </c>
      <c r="E9" s="24">
        <f>IF(B9,1,0)</f>
        <v>0</v>
      </c>
    </row>
    <row r="14" spans="1:1">
      <c r="A14" s="177" t="s">
        <v>6</v>
      </c>
    </row>
    <row r="15" spans="1:2">
      <c r="A15" s="24" t="s">
        <v>7</v>
      </c>
      <c r="B15" s="24">
        <v>38</v>
      </c>
    </row>
    <row r="16" spans="1:2">
      <c r="A16" s="24" t="s">
        <v>8</v>
      </c>
      <c r="B16" s="24">
        <v>49</v>
      </c>
    </row>
    <row r="17" spans="1:2">
      <c r="A17" s="24" t="s">
        <v>9</v>
      </c>
      <c r="B17" s="24">
        <v>39</v>
      </c>
    </row>
    <row r="18" spans="1:2">
      <c r="A18" s="24" t="s">
        <v>10</v>
      </c>
      <c r="B18" s="24">
        <v>35</v>
      </c>
    </row>
    <row r="19" spans="1:2">
      <c r="A19" s="24" t="s">
        <v>11</v>
      </c>
      <c r="B19" s="24">
        <v>33</v>
      </c>
    </row>
    <row r="20" spans="1:2">
      <c r="A20" s="24" t="s">
        <v>12</v>
      </c>
      <c r="B20" s="24" t="b">
        <v>0</v>
      </c>
    </row>
    <row r="21" spans="1:2">
      <c r="A21" s="24" t="s">
        <v>13</v>
      </c>
      <c r="B21" s="24" t="b">
        <v>0</v>
      </c>
    </row>
    <row r="22" spans="1:3">
      <c r="A22" s="24" t="s">
        <v>14</v>
      </c>
      <c r="B22" s="24">
        <v>1</v>
      </c>
      <c r="C22" s="24" t="str">
        <f>INDEX(tblCities!$C$62:$C$63,$B22)</f>
        <v>Grouped by score</v>
      </c>
    </row>
    <row r="23" spans="1:2">
      <c r="A23" s="24" t="s">
        <v>15</v>
      </c>
      <c r="B23" s="24">
        <v>1</v>
      </c>
    </row>
    <row r="24" spans="1:2">
      <c r="A24" s="24" t="s">
        <v>16</v>
      </c>
      <c r="B24" s="24">
        <v>37</v>
      </c>
    </row>
    <row r="25" spans="1:2">
      <c r="A25" s="24" t="s">
        <v>17</v>
      </c>
      <c r="B25" s="24">
        <v>1</v>
      </c>
    </row>
    <row r="27" spans="1:30">
      <c r="A27" s="177" t="s">
        <v>18</v>
      </c>
      <c r="C27" s="24" t="str">
        <f>tblIndicators!B1</f>
        <v>IndiCode</v>
      </c>
      <c r="D27" s="24" t="str">
        <f>tblIndicators!C1</f>
        <v>IndiParent</v>
      </c>
      <c r="E27" s="24" t="str">
        <f>tblIndicators!D1</f>
        <v>Depth</v>
      </c>
      <c r="F27" s="24" t="str">
        <f>tblIndicators!E1</f>
        <v>IsRef</v>
      </c>
      <c r="G27" s="24" t="str">
        <f>tblIndicators!F1</f>
        <v>IndiRef</v>
      </c>
      <c r="H27" s="24" t="str">
        <f>tblIndicators!G1</f>
        <v>Indicator/subindicator</v>
      </c>
      <c r="I27" s="24" t="str">
        <f>tblIndicators!H1</f>
        <v>Categories/indicators/sub-indicators</v>
      </c>
      <c r="J27" s="24" t="str">
        <f>tblIndicators!I1</f>
        <v>Description/why is it included?</v>
      </c>
      <c r="K27" s="24" t="str">
        <f>tblIndicators!J1</f>
        <v>Definition/units</v>
      </c>
      <c r="L27" s="24">
        <f>tblIndicators!K1</f>
        <v>0</v>
      </c>
      <c r="M27" s="24" t="str">
        <f>tblIndicators!L1</f>
        <v>Source(s)</v>
      </c>
      <c r="N27" s="24" t="str">
        <f>tblIndicators!M1</f>
        <v>Score_System, 1 = weighted sum of scores, 2 = norm based on actual max/min, 3 = norm based on fixed max/min</v>
      </c>
      <c r="O27" s="24" t="str">
        <f>tblIndicators!N1</f>
        <v>Score_Param1 (0=High Is Good)</v>
      </c>
      <c r="P27" s="24" t="str">
        <f>tblIndicators!O1</f>
        <v>Score_Param2</v>
      </c>
      <c r="Q27" s="24" t="str">
        <f>tblIndicators!P1</f>
        <v>Score_Param3</v>
      </c>
      <c r="R27" s="24" t="str">
        <f>tblIndicators!Q1</f>
        <v>Min</v>
      </c>
      <c r="S27" s="24" t="str">
        <f>tblIndicators!R1</f>
        <v>Max</v>
      </c>
      <c r="T27" s="24" t="str">
        <f>tblIndicators!S1</f>
        <v>Default_Weight</v>
      </c>
      <c r="U27" s="24" t="str">
        <f>tblIndicators!T1</f>
        <v>DP</v>
      </c>
      <c r="V27" s="24" t="str">
        <f>tblIndicators!U1</f>
        <v>Spare#1</v>
      </c>
      <c r="W27" s="24" t="str">
        <f>tblIndicators!V1</f>
        <v>Spare#2</v>
      </c>
      <c r="X27" s="24" t="str">
        <f>tblIndicators!W1</f>
        <v>Spare#3</v>
      </c>
      <c r="Y27" s="24" t="str">
        <f>tblIndicators!X1</f>
        <v>Notes</v>
      </c>
      <c r="Z27" s="24">
        <f>tblIndicators!Y1</f>
        <v>0</v>
      </c>
      <c r="AA27" s="24" t="str">
        <f>tblIndicators!Z1</f>
        <v>INDENT_DESC</v>
      </c>
      <c r="AB27" s="24" t="str">
        <f>tblIndicators!AA1</f>
        <v>NUMFORMAT</v>
      </c>
      <c r="AC27" s="24" t="str">
        <f>tblIndicators!AB1</f>
        <v>Active_Weight_Nom</v>
      </c>
      <c r="AD27" s="24" t="str">
        <f>tblIndicators!AC1</f>
        <v>Active_Weight</v>
      </c>
    </row>
    <row r="28" spans="1:30">
      <c r="A28" s="24" t="s">
        <v>19</v>
      </c>
      <c r="B28" s="24">
        <f>INDEX(tblIndiSets!B241:B297,uxbWorks!B16)</f>
        <v>49</v>
      </c>
      <c r="C28" s="24" t="str">
        <f>INDEX(tblIndicators!B$2:B$58,$B28)</f>
        <v>PERSAF_OP</v>
      </c>
      <c r="D28" s="24" t="str">
        <f>INDEX(tblIndicators!C$2:C$58,$B28)</f>
        <v>PERSAF</v>
      </c>
      <c r="E28" s="24">
        <f>INDEX(tblIndicators!D$2:D$58,$B28)</f>
        <v>2</v>
      </c>
      <c r="F28" s="24">
        <f>INDEX(tblIndicators!E$2:E$58,$B28)</f>
        <v>0</v>
      </c>
      <c r="G28" s="24" t="str">
        <f>INDEX(tblIndicators!F$2:F$58,$B28)</f>
        <v>4.2</v>
      </c>
      <c r="H28" s="24" t="str">
        <f>INDEX(tblIndicators!G$2:G$58,$B28)</f>
        <v>Sub Category</v>
      </c>
      <c r="I28" s="24" t="str">
        <f>INDEX(tblIndicators!H$2:H$58,$B28)</f>
        <v>Personal Safety (Outputs)</v>
      </c>
      <c r="J28" s="24" t="str">
        <f>INDEX(tblIndicators!I$2:I$58,$B28)</f>
        <v>Sub-category index score, weighted sum of the 9 indicator scores.
1) Prevalence of petty crime
2) Prevalence of violence crime
3) Criminal gang activity
4) Level of corruption in police force
5) Rate of drug use
6) Frequency of terrorist attacks
7) Gender safety
8) Perceptions of safety</v>
      </c>
      <c r="K28" s="24" t="str">
        <f>INDEX(tblIndicators!J$2:J$58,$B28)</f>
        <v>Weighted sum of underlying indicator scores;</v>
      </c>
      <c r="L28" s="24">
        <f>INDEX(tblIndicators!K$2:K$58,$B28)</f>
        <v>0</v>
      </c>
      <c r="M28" s="24">
        <f>INDEX(tblIndicators!L$2:L$58,$B28)</f>
        <v>0</v>
      </c>
      <c r="N28" s="24">
        <f>INDEX(tblIndicators!M$2:M$58,$B28)</f>
        <v>1</v>
      </c>
      <c r="O28" s="24">
        <f>INDEX(tblIndicators!N$2:N$58,$B28)</f>
        <v>0</v>
      </c>
      <c r="P28" s="24">
        <f>INDEX(tblIndicators!O$2:O$58,$B28)</f>
        <v>0</v>
      </c>
      <c r="Q28" s="24">
        <f>INDEX(tblIndicators!P$2:P$58,$B28)</f>
        <v>0</v>
      </c>
      <c r="R28" s="24">
        <f>INDEX(tblIndicators!Q$2:Q$58,$B28)</f>
        <v>0</v>
      </c>
      <c r="S28" s="24">
        <f>INDEX(tblIndicators!R$2:R$58,$B28)</f>
        <v>0</v>
      </c>
      <c r="T28" s="24">
        <f>INDEX(tblIndicators!S$2:S$58,$B28)</f>
        <v>0</v>
      </c>
      <c r="U28" s="24">
        <f>INDEX(tblIndicators!T$2:T$58,$B28)</f>
        <v>1</v>
      </c>
      <c r="V28" s="24">
        <f>INDEX(tblIndicators!U$2:U$58,$B28)</f>
        <v>0</v>
      </c>
      <c r="W28" s="24">
        <f>INDEX(tblIndicators!V$2:V$58,$B28)</f>
        <v>0</v>
      </c>
      <c r="X28" s="24">
        <f>INDEX(tblIndicators!W$2:W$58,$B28)</f>
        <v>0</v>
      </c>
      <c r="Y28" s="24">
        <f>INDEX(tblIndicators!X$2:X$58,$B28)</f>
        <v>0</v>
      </c>
      <c r="Z28" s="24">
        <f>INDEX(tblIndicators!Y$2:Y$58,$B28)</f>
        <v>0</v>
      </c>
      <c r="AA28" s="24" t="str">
        <f>INDEX(tblIndicators!Z$2:Z$58,$B28)</f>
        <v>4.2) Personal Safety (Outputs)</v>
      </c>
      <c r="AB28" s="24" t="str">
        <f>INDEX(tblIndicators!AA$2:AA$58,$B28)</f>
        <v>#,0.0</v>
      </c>
      <c r="AC28" s="24">
        <f>INDEX(tblIndicators!AB$2:AB$58,$B28)</f>
        <v>1</v>
      </c>
      <c r="AD28" s="24">
        <f>INDEX(tblIndicators!AC$2:AC$58,$B28)</f>
        <v>0.5</v>
      </c>
    </row>
    <row r="29" spans="1:2">
      <c r="A29" s="24" t="s">
        <v>20</v>
      </c>
      <c r="B29" s="24" t="str">
        <f>AB28</f>
        <v>#,0.0</v>
      </c>
    </row>
    <row r="30" spans="1:2">
      <c r="A30" s="24" t="s">
        <v>21</v>
      </c>
      <c r="B30" s="24">
        <f>IF(N28=1,0,1)</f>
        <v>0</v>
      </c>
    </row>
    <row r="31" spans="1:2">
      <c r="A31" s="24" t="s">
        <v>22</v>
      </c>
      <c r="B31" s="24">
        <f>IF(D28="REF",1,0)</f>
        <v>0</v>
      </c>
    </row>
    <row r="32" spans="1:2">
      <c r="A32" s="24" t="s">
        <v>23</v>
      </c>
      <c r="B32" s="24">
        <f>IF(C28="REF",1,0)</f>
        <v>0</v>
      </c>
    </row>
    <row r="35" spans="1:1">
      <c r="A35" s="177" t="s">
        <v>24</v>
      </c>
    </row>
    <row r="36" spans="1:30">
      <c r="A36" s="24" t="s">
        <v>25</v>
      </c>
      <c r="B36" s="24">
        <f>INDEX(tblIndiSets!$B$75:$B$131,$B$18)</f>
        <v>35</v>
      </c>
      <c r="C36" s="24" t="str">
        <f>INDEX(tblIndicators!B$2:B$58,$B36)</f>
        <v>INFSAF_OP</v>
      </c>
      <c r="D36" s="24" t="str">
        <f>INDEX(tblIndicators!C$2:C$58,$B36)</f>
        <v>INFSAF</v>
      </c>
      <c r="E36" s="24">
        <f>INDEX(tblIndicators!D$2:D$58,$B36)</f>
        <v>2</v>
      </c>
      <c r="F36" s="24">
        <f>INDEX(tblIndicators!E$2:E$58,$B36)</f>
        <v>0</v>
      </c>
      <c r="G36" s="24" t="str">
        <f>INDEX(tblIndicators!F$2:F$58,$B36)</f>
        <v>3.2</v>
      </c>
      <c r="H36" s="24" t="str">
        <f>INDEX(tblIndicators!G$2:G$58,$B36)</f>
        <v>Sub Category</v>
      </c>
      <c r="I36" s="24" t="str">
        <f>INDEX(tblIndicators!H$2:H$58,$B36)</f>
        <v>Infrastructure Safety (Outputs)</v>
      </c>
      <c r="J36" s="24" t="str">
        <f>INDEX(tblIndicators!I$2:I$58,$B36)</f>
        <v>Sub-category index score, weighted sum of the 5 indicator scores.
1) Death from natural disasters
2) Frequency of vehicular accidents
3) Frequency of pedestrian deaths
4) Percent living in urban slums</v>
      </c>
      <c r="K36" s="24" t="str">
        <f>INDEX(tblIndicators!J$2:J$58,$B36)</f>
        <v>Weighted sum of underlying indicator scores;</v>
      </c>
      <c r="L36" s="24">
        <f>INDEX(tblIndicators!K$2:K$58,$B36)</f>
        <v>0</v>
      </c>
      <c r="M36" s="24">
        <f>INDEX(tblIndicators!L$2:L$58,$B36)</f>
        <v>0</v>
      </c>
      <c r="N36" s="24">
        <f>INDEX(tblIndicators!M$2:M$58,$B36)</f>
        <v>1</v>
      </c>
      <c r="O36" s="24">
        <f>INDEX(tblIndicators!N$2:N$58,$B36)</f>
        <v>0</v>
      </c>
      <c r="P36" s="24">
        <f>INDEX(tblIndicators!O$2:O$58,$B36)</f>
        <v>0</v>
      </c>
      <c r="Q36" s="24">
        <f>INDEX(tblIndicators!P$2:P$58,$B36)</f>
        <v>0</v>
      </c>
      <c r="R36" s="24">
        <f>INDEX(tblIndicators!Q$2:Q$58,$B36)</f>
        <v>0</v>
      </c>
      <c r="S36" s="24">
        <f>INDEX(tblIndicators!R$2:R$58,$B36)</f>
        <v>0</v>
      </c>
      <c r="T36" s="24">
        <f>INDEX(tblIndicators!S$2:S$58,$B36)</f>
        <v>0</v>
      </c>
      <c r="U36" s="24">
        <f>INDEX(tblIndicators!T$2:T$58,$B36)</f>
        <v>1</v>
      </c>
      <c r="V36" s="24">
        <f>INDEX(tblIndicators!U$2:U$58,$B36)</f>
        <v>0</v>
      </c>
      <c r="W36" s="24">
        <f>INDEX(tblIndicators!V$2:V$58,$B36)</f>
        <v>0</v>
      </c>
      <c r="X36" s="24">
        <f>INDEX(tblIndicators!W$2:W$58,$B36)</f>
        <v>0</v>
      </c>
      <c r="Y36" s="24">
        <f>INDEX(tblIndicators!X$2:X$58,$B36)</f>
        <v>0</v>
      </c>
      <c r="Z36" s="24">
        <f>INDEX(tblIndicators!Y$2:Y$58,$B36)</f>
        <v>0</v>
      </c>
      <c r="AA36" s="24" t="str">
        <f>INDEX(tblIndicators!Z$2:Z$58,$B36)</f>
        <v>3.2) Infrastructure Safety (Outputs)</v>
      </c>
      <c r="AB36" s="24" t="str">
        <f>INDEX(tblIndicators!AA$2:AA$58,$B36)</f>
        <v>#,0.0</v>
      </c>
      <c r="AC36" s="24">
        <f>INDEX(tblIndicators!AB$2:AB$58,$B36)</f>
        <v>1</v>
      </c>
      <c r="AD36" s="24">
        <f>INDEX(tblIndicators!AC$2:AC$58,$B36)</f>
        <v>0.5</v>
      </c>
    </row>
    <row r="37" spans="1:30">
      <c r="A37" s="24" t="s">
        <v>26</v>
      </c>
      <c r="B37" s="24">
        <f>INDEX(tblIndiSets!$B$135:$B$191,$B$19)</f>
        <v>33</v>
      </c>
      <c r="C37" s="24" t="str">
        <f>INDEX(tblIndicators!B$2:B$58,$B37)</f>
        <v>INFSAF_IP_04</v>
      </c>
      <c r="D37" s="24" t="str">
        <f>INDEX(tblIndicators!C$2:C$58,$B37)</f>
        <v>INFSAF_IP</v>
      </c>
      <c r="E37" s="24">
        <f>INDEX(tblIndicators!D$2:D$58,$B37)</f>
        <v>3</v>
      </c>
      <c r="F37" s="24">
        <f>INDEX(tblIndicators!E$2:E$58,$B37)</f>
        <v>0</v>
      </c>
      <c r="G37" s="24" t="str">
        <f>INDEX(tblIndicators!F$2:F$58,$B37)</f>
        <v>3.1.4</v>
      </c>
      <c r="H37" s="24" t="str">
        <f>INDEX(tblIndicators!G$2:G$58,$B37)</f>
        <v>Indicator</v>
      </c>
      <c r="I37" s="24" t="str">
        <f>INDEX(tblIndicators!H$2:H$58,$B37)</f>
        <v>Quality of electricity infrastructure</v>
      </c>
      <c r="J37" s="24" t="str">
        <f>INDEX(tblIndicators!I$2:I$58,$B37)</f>
        <v>Scale 1-5</v>
      </c>
      <c r="K37" s="24" t="str">
        <f>INDEX(tblIndicators!J$2:J$58,$B37)</f>
        <v>Scale 1-5</v>
      </c>
      <c r="L37" s="24">
        <f>INDEX(tblIndicators!K$2:K$58,$B37)</f>
        <v>0</v>
      </c>
      <c r="M37" s="24">
        <f>INDEX(tblIndicators!L$2:L$58,$B37)</f>
        <v>0</v>
      </c>
      <c r="N37" s="24">
        <f>INDEX(tblIndicators!M$2:M$58,$B37)</f>
        <v>3</v>
      </c>
      <c r="O37" s="24">
        <f>INDEX(tblIndicators!N$2:N$58,$B37)</f>
        <v>1</v>
      </c>
      <c r="P37" s="24">
        <f>INDEX(tblIndicators!O$2:O$58,$B37)</f>
        <v>0</v>
      </c>
      <c r="Q37" s="24">
        <f>INDEX(tblIndicators!P$2:P$58,$B37)</f>
        <v>0</v>
      </c>
      <c r="R37" s="24">
        <f>INDEX(tblIndicators!Q$2:Q$58,$B37)</f>
        <v>1</v>
      </c>
      <c r="S37" s="24">
        <f>INDEX(tblIndicators!R$2:R$58,$B37)</f>
        <v>5</v>
      </c>
      <c r="T37" s="24">
        <f>INDEX(tblIndicators!S$2:S$58,$B37)</f>
        <v>0</v>
      </c>
      <c r="U37" s="24">
        <f>INDEX(tblIndicators!T$2:T$58,$B37)</f>
        <v>0</v>
      </c>
      <c r="V37" s="24">
        <f>INDEX(tblIndicators!U$2:U$58,$B37)</f>
        <v>0</v>
      </c>
      <c r="W37" s="24">
        <f>INDEX(tblIndicators!V$2:V$58,$B37)</f>
        <v>0</v>
      </c>
      <c r="X37" s="24">
        <f>INDEX(tblIndicators!W$2:W$58,$B37)</f>
        <v>0</v>
      </c>
      <c r="Y37" s="24">
        <f>INDEX(tblIndicators!X$2:X$58,$B37)</f>
        <v>0</v>
      </c>
      <c r="Z37" s="24">
        <f>INDEX(tblIndicators!Y$2:Y$58,$B37)</f>
        <v>0</v>
      </c>
      <c r="AA37" s="24" t="str">
        <f>INDEX(tblIndicators!Z$2:Z$58,$B37)</f>
        <v>3.1.4) Quality of electricity infrastructure</v>
      </c>
      <c r="AB37" s="24" t="str">
        <f>INDEX(tblIndicators!AA$2:AA$58,$B37)</f>
        <v>#,0</v>
      </c>
      <c r="AC37" s="24">
        <f>INDEX(tblIndicators!AB$2:AB$58,$B37)</f>
        <v>1</v>
      </c>
      <c r="AD37" s="24">
        <f>INDEX(tblIndicators!AC$2:AC$58,$B37)</f>
        <v>0.2</v>
      </c>
    </row>
    <row r="38" spans="3:3">
      <c r="C38" s="24" t="s">
        <v>27</v>
      </c>
    </row>
    <row r="39" spans="1:2">
      <c r="A39" s="24" t="s">
        <v>28</v>
      </c>
      <c r="B39" s="24" t="str">
        <f>AB36</f>
        <v>#,0.0</v>
      </c>
    </row>
    <row r="40" spans="1:2">
      <c r="A40" s="24" t="s">
        <v>29</v>
      </c>
      <c r="B40" s="24" t="str">
        <f>AB37</f>
        <v>#,0</v>
      </c>
    </row>
    <row r="42" spans="1:1">
      <c r="A42" s="177" t="s">
        <v>30</v>
      </c>
    </row>
    <row r="43" spans="1:2">
      <c r="A43" s="24" t="s">
        <v>31</v>
      </c>
      <c r="B43" s="24">
        <v>1</v>
      </c>
    </row>
    <row r="44" spans="1:2">
      <c r="A44" s="24" t="s">
        <v>32</v>
      </c>
      <c r="B44" s="24">
        <v>40</v>
      </c>
    </row>
    <row r="45" spans="1:2">
      <c r="A45" s="24" t="s">
        <v>33</v>
      </c>
      <c r="B45" s="24">
        <v>2</v>
      </c>
    </row>
  </sheetData>
  <sheetProtection selectLockedCells="1" selectUnlockedCells="1"/>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C000"/>
  </sheetPr>
  <dimension ref="A1:Q71"/>
  <sheetViews>
    <sheetView workbookViewId="0">
      <selection activeCell="A1" sqref="A1"/>
    </sheetView>
  </sheetViews>
  <sheetFormatPr defaultColWidth="9" defaultRowHeight="15"/>
  <cols>
    <col min="1" max="1" width="16.5714285714286" customWidth="1"/>
    <col min="2" max="2" width="30.4285714285714" customWidth="1"/>
    <col min="11" max="13" width="5.57142857142857" customWidth="1"/>
    <col min="15" max="15" width="16.7142857142857" customWidth="1"/>
    <col min="16" max="16" width="11.8571428571429" customWidth="1"/>
    <col min="17" max="17" width="10.8571428571429" customWidth="1"/>
  </cols>
  <sheetData>
    <row r="1" spans="1:6">
      <c r="A1" t="s">
        <v>313</v>
      </c>
      <c r="B1">
        <f>uxbWorks!$B$15</f>
        <v>38</v>
      </c>
      <c r="C1" t="str">
        <f>INDEX(luCountry,B1)</f>
        <v>Abu Dhabi</v>
      </c>
      <c r="E1" t="str">
        <f>uxbWorks!A9</f>
        <v>OUTPUT_INPUT_SCORE</v>
      </c>
      <c r="F1">
        <f>uxbWorks!E9</f>
        <v>0</v>
      </c>
    </row>
    <row r="2" spans="1:2">
      <c r="A2" t="s">
        <v>414</v>
      </c>
      <c r="B2">
        <f>uxbWorks!B5</f>
        <v>50</v>
      </c>
    </row>
    <row r="3" spans="1:2">
      <c r="A3" t="s">
        <v>415</v>
      </c>
      <c r="B3">
        <f>uxbWorks!$B$22</f>
        <v>1</v>
      </c>
    </row>
    <row r="4" spans="1:2">
      <c r="A4" t="s">
        <v>416</v>
      </c>
      <c r="B4" t="str">
        <f>IF(uxbWorks!B9,"Ratio Output/Input","Total Score / 100")</f>
        <v>Total Score / 100</v>
      </c>
    </row>
    <row r="5" spans="1:5">
      <c r="A5" t="s">
        <v>376</v>
      </c>
      <c r="B5" s="65">
        <f>INDEX(Scores!N9:BK9,1,iCityP!B1)</f>
        <v>69.8279166548763</v>
      </c>
      <c r="D5" t="str">
        <f>C1</f>
        <v>Abu Dhabi</v>
      </c>
      <c r="E5" t="s">
        <v>417</v>
      </c>
    </row>
    <row r="6" spans="3:5">
      <c r="C6" t="str">
        <f>CONCATENATE("Rank / ",$B$2)</f>
        <v>Rank / 50</v>
      </c>
      <c r="D6" t="s">
        <v>418</v>
      </c>
      <c r="E6" t="s">
        <v>419</v>
      </c>
    </row>
    <row r="7" spans="1:5">
      <c r="A7">
        <f>tblIndiSets!B3</f>
        <v>1</v>
      </c>
      <c r="B7" t="str">
        <f>IF(uxbWorks!$B$9,"Ratio of Output/Input*10",tblIndiSets!C3)</f>
        <v>TOTAL SCORE</v>
      </c>
      <c r="C7" s="90">
        <f>INDEX(aRankedScores,$A7,$B$1)</f>
        <v>25</v>
      </c>
      <c r="D7" s="65">
        <f>IF(uxbWorks!$B$9,INDEX(aRoundedScores,$A7,$B$1)*10,INDEX(aRoundedScores,$A7,$B$1))</f>
        <v>69.83</v>
      </c>
      <c r="E7" s="65">
        <f ca="1">IF(uxbWorks!$B$9,10*AVERAGE(OFFSET(aRoundedScores,$A7-1,0,1,$B$2)),AVERAGE(OFFSET(aRoundedScores,$A7-1,0,1,$B$2)))</f>
        <v>69.3534</v>
      </c>
    </row>
    <row r="8" spans="1:5">
      <c r="A8">
        <f>tblIndiSets!B4</f>
        <v>2</v>
      </c>
      <c r="B8" t="str">
        <f>IF(uxbWorks!$B$9,CONCATENATE(tblIndiSets!C4," * 10"),tblIndiSets!C4)</f>
        <v>1) DIGITAL SECURITY</v>
      </c>
      <c r="C8" s="90">
        <f>INDEX(aRankedScores,$A8,$B$1)</f>
        <v>9</v>
      </c>
      <c r="D8" s="65">
        <f>IF(uxbWorks!$B$9,INDEX(aRoundedScores,$A8,$B$1)*10,INDEX(aRoundedScores,$A8,$B$1))</f>
        <v>73.71</v>
      </c>
      <c r="E8" s="65">
        <f ca="1">IF(uxbWorks!$B$9,10*AVERAGE(OFFSET(aRoundedScores,$A8-1,0,1,$B$2)),AVERAGE(OFFSET(aRoundedScores,$A8-1,0,1,$B$2)))</f>
        <v>63.4182</v>
      </c>
    </row>
    <row r="9" spans="1:5">
      <c r="A9">
        <f>tblIndiSets!B5</f>
        <v>14</v>
      </c>
      <c r="B9" t="str">
        <f>IF(uxbWorks!$B$9,CONCATENATE(tblIndiSets!C5," * 10"),tblIndiSets!C5)</f>
        <v>2) HEALTH SECURITY</v>
      </c>
      <c r="C9" s="90">
        <f>INDEX(aRankedScores,$A9,$B$1)</f>
        <v>45</v>
      </c>
      <c r="D9" s="65">
        <f>IF(uxbWorks!$B$9,INDEX(aRoundedScores,$A9,$B$1)*10,INDEX(aRoundedScores,$A9,$B$1))</f>
        <v>52.06</v>
      </c>
      <c r="E9" s="65">
        <f ca="1">IF(uxbWorks!$B$9,10*AVERAGE(OFFSET(aRoundedScores,$A9-1,0,1,$B$2)),AVERAGE(OFFSET(aRoundedScores,$A9-1,0,1,$B$2)))</f>
        <v>65.7446</v>
      </c>
    </row>
    <row r="10" spans="1:5">
      <c r="A10">
        <f>tblIndiSets!B6</f>
        <v>28</v>
      </c>
      <c r="B10" t="str">
        <f>IF(uxbWorks!$B$9,CONCATENATE(tblIndiSets!C6," * 10"),tblIndiSets!C6)</f>
        <v>3) INFRASTRUCTURE SAFETY</v>
      </c>
      <c r="C10" s="90">
        <f>INDEX(aRankedScores,$A10,$B$1)</f>
        <v>10</v>
      </c>
      <c r="D10" s="65">
        <f>IF(uxbWorks!$B$9,INDEX(aRoundedScores,$A10,$B$1)*10,INDEX(aRoundedScores,$A10,$B$1))</f>
        <v>86.16</v>
      </c>
      <c r="E10" s="65">
        <f ca="1">IF(uxbWorks!$B$9,10*AVERAGE(OFFSET(aRoundedScores,$A10-1,0,1,$B$2)),AVERAGE(OFFSET(aRoundedScores,$A10-1,0,1,$B$2)))</f>
        <v>77.5892</v>
      </c>
    </row>
    <row r="11" spans="1:5">
      <c r="A11">
        <f>tblIndiSets!B7</f>
        <v>40</v>
      </c>
      <c r="B11" t="str">
        <f>IF(uxbWorks!$B$9,CONCATENATE(tblIndiSets!C7," * 10"),tblIndiSets!C7)</f>
        <v>4) PERSONAL SAFETY</v>
      </c>
      <c r="C11" s="90">
        <f>INDEX(aRankedScores,$A11,$B$1)</f>
        <v>32</v>
      </c>
      <c r="D11" s="65">
        <f>IF(uxbWorks!$B$9,INDEX(aRoundedScores,$A11,$B$1)*10,INDEX(aRoundedScores,$A11,$B$1))</f>
        <v>67.39</v>
      </c>
      <c r="E11" s="65">
        <f ca="1">IF(uxbWorks!$B$9,10*AVERAGE(OFFSET(aRoundedScores,$A11-1,0,1,$B$2)),AVERAGE(OFFSET(aRoundedScores,$A11-1,0,1,$B$2)))</f>
        <v>70.6604</v>
      </c>
    </row>
    <row r="12" spans="11:12">
      <c r="K12">
        <v>75</v>
      </c>
      <c r="L12">
        <v>25.1</v>
      </c>
    </row>
    <row r="13" spans="11:17">
      <c r="K13">
        <v>1</v>
      </c>
      <c r="L13">
        <v>2</v>
      </c>
      <c r="M13">
        <v>3</v>
      </c>
      <c r="O13">
        <v>1</v>
      </c>
      <c r="P13">
        <v>2</v>
      </c>
      <c r="Q13">
        <v>3</v>
      </c>
    </row>
    <row r="14" spans="2:17">
      <c r="B14" t="s">
        <v>34</v>
      </c>
      <c r="C14" t="s">
        <v>37</v>
      </c>
      <c r="D14" t="s">
        <v>420</v>
      </c>
      <c r="E14" t="s">
        <v>376</v>
      </c>
      <c r="F14" t="s">
        <v>378</v>
      </c>
      <c r="G14" t="s">
        <v>421</v>
      </c>
      <c r="H14" t="s">
        <v>422</v>
      </c>
      <c r="I14" t="s">
        <v>423</v>
      </c>
      <c r="K14">
        <v>0</v>
      </c>
      <c r="L14">
        <v>0</v>
      </c>
      <c r="M14">
        <v>0</v>
      </c>
      <c r="O14" t="str">
        <f>IF($B$3=1,"Scores 75 or more","Top Quartille")</f>
        <v>Scores 75 or more</v>
      </c>
      <c r="P14" t="str">
        <f>IF($B$3=1,"Scores 25-75","2nd / 3rd Quartille")</f>
        <v>Scores 25-75</v>
      </c>
      <c r="Q14" t="str">
        <f>IF($B$3=1,"Scores 0-25","Bottom Quartille")</f>
        <v>Scores 0-25</v>
      </c>
    </row>
    <row r="15" spans="2:17">
      <c r="B15">
        <f>tblIndicators!A2</f>
        <v>1</v>
      </c>
      <c r="C15">
        <f>tblIndicators!D2</f>
        <v>0</v>
      </c>
      <c r="D15" t="b">
        <f>IF(C15=2,TRUE,FALSE)</f>
        <v>0</v>
      </c>
      <c r="E15">
        <f t="shared" ref="E15:E71" si="0">INDEX(aRoundedScores,$B15,$B$1)</f>
        <v>69.83</v>
      </c>
      <c r="F15">
        <f ca="1">MATCH(E15,QUARTILE(OFFSET(aRoundedScores,$B15-1,0,1,$B$2),{0,1,2,3}))</f>
        <v>3</v>
      </c>
      <c r="G15" s="155">
        <f ca="1">IF(F15=1,3,IF(F15=4,1,2))</f>
        <v>2</v>
      </c>
      <c r="H15">
        <f>IF(E15&gt;=$K$12,1,IF(E15&gt;=$L$12,2,3))</f>
        <v>2</v>
      </c>
      <c r="I15" s="155" t="str">
        <f ca="1">IF(D15=FALSE,"x",IF($B$3=2,G15,H15))</f>
        <v>x</v>
      </c>
      <c r="K15">
        <f ca="1">MATCH(K$13,OFFSET($I$15:$I$67,K14,0),0)+K14</f>
        <v>10</v>
      </c>
      <c r="L15">
        <f ca="1">MATCH(L$13,OFFSET($I$15:$I$67,L14,0),0)+L14</f>
        <v>3</v>
      </c>
      <c r="M15" t="e">
        <f ca="1">MATCH(M$13,OFFSET($I$15:$I$67,M14,0),0)+M14</f>
        <v>#N/A</v>
      </c>
      <c r="O15">
        <f ca="1" t="shared" ref="O15" si="1">IF(ISNUMBER(K15),K15,0)</f>
        <v>10</v>
      </c>
      <c r="P15">
        <f ca="1" t="shared" ref="P15:Q15" si="2">IF(ISNUMBER(L15),L15,0)</f>
        <v>3</v>
      </c>
      <c r="Q15">
        <f ca="1" t="shared" si="2"/>
        <v>0</v>
      </c>
    </row>
    <row r="16" spans="2:17">
      <c r="B16">
        <f>tblIndicators!A3</f>
        <v>2</v>
      </c>
      <c r="C16">
        <f>tblIndicators!D3</f>
        <v>1</v>
      </c>
      <c r="D16" t="b">
        <f t="shared" ref="D16:D45" si="3">IF(C16=2,TRUE,FALSE)</f>
        <v>0</v>
      </c>
      <c r="E16">
        <f t="shared" si="0"/>
        <v>73.71</v>
      </c>
      <c r="F16">
        <f ca="1">MATCH(E16,QUARTILE(OFFSET(aRoundedScores,$B16-1,0,1,$B$2),{0,1,2,3}))</f>
        <v>4</v>
      </c>
      <c r="G16" s="155">
        <f ca="1" t="shared" ref="G16:G45" si="4">IF(F16=1,3,IF(F16=4,1,2))</f>
        <v>1</v>
      </c>
      <c r="H16">
        <f t="shared" ref="H16:H45" si="5">IF(E16&gt;=$K$12,1,IF(E16&gt;=$L$12,2,3))</f>
        <v>2</v>
      </c>
      <c r="I16" s="155" t="str">
        <f ca="1" t="shared" ref="I16:I45" si="6">IF(D16=FALSE,"x",IF($B$3=2,G16,H16))</f>
        <v>x</v>
      </c>
      <c r="K16">
        <f ca="1" t="shared" ref="K16:K71" si="7">MATCH(K$13,OFFSET($I$15:$I$67,K15,0),0)+K15</f>
        <v>29</v>
      </c>
      <c r="L16">
        <f ca="1" t="shared" ref="L16:L71" si="8">MATCH(L$13,OFFSET($I$15:$I$67,L15,0),0)+L15</f>
        <v>15</v>
      </c>
      <c r="M16" t="e">
        <f ca="1" t="shared" ref="M16:M71" si="9">MATCH(M$13,OFFSET($I$15:$I$67,M15,0),0)+M15</f>
        <v>#N/A</v>
      </c>
      <c r="O16">
        <f ca="1" t="shared" ref="O16:O45" si="10">IF(ISNUMBER(K16),K16,0)</f>
        <v>29</v>
      </c>
      <c r="P16">
        <f ca="1" t="shared" ref="P16:P45" si="11">IF(ISNUMBER(L16),L16,0)</f>
        <v>15</v>
      </c>
      <c r="Q16">
        <f ca="1" t="shared" ref="Q16:Q45" si="12">IF(ISNUMBER(M16),M16,0)</f>
        <v>0</v>
      </c>
    </row>
    <row r="17" spans="2:17">
      <c r="B17">
        <f>tblIndicators!A4</f>
        <v>3</v>
      </c>
      <c r="C17">
        <f>tblIndicators!D4</f>
        <v>2</v>
      </c>
      <c r="D17" t="b">
        <f t="shared" si="3"/>
        <v>1</v>
      </c>
      <c r="E17">
        <f t="shared" si="0"/>
        <v>67.33</v>
      </c>
      <c r="F17">
        <f ca="1">MATCH(E17,QUARTILE(OFFSET(aRoundedScores,$B17-1,0,1,$B$2),{0,1,2,3}))</f>
        <v>3</v>
      </c>
      <c r="G17" s="155">
        <f ca="1" t="shared" si="4"/>
        <v>2</v>
      </c>
      <c r="H17">
        <f t="shared" si="5"/>
        <v>2</v>
      </c>
      <c r="I17" s="155">
        <f ca="1" t="shared" si="6"/>
        <v>2</v>
      </c>
      <c r="K17">
        <f ca="1" t="shared" si="7"/>
        <v>35</v>
      </c>
      <c r="L17">
        <f ca="1" t="shared" si="8"/>
        <v>22</v>
      </c>
      <c r="M17" t="e">
        <f ca="1" t="shared" si="9"/>
        <v>#N/A</v>
      </c>
      <c r="O17">
        <f ca="1" t="shared" si="10"/>
        <v>35</v>
      </c>
      <c r="P17">
        <f ca="1" t="shared" si="11"/>
        <v>22</v>
      </c>
      <c r="Q17">
        <f ca="1" t="shared" si="12"/>
        <v>0</v>
      </c>
    </row>
    <row r="18" spans="2:17">
      <c r="B18">
        <f>tblIndicators!A5</f>
        <v>4</v>
      </c>
      <c r="C18">
        <f>tblIndicators!D5</f>
        <v>3</v>
      </c>
      <c r="D18" t="b">
        <f t="shared" si="3"/>
        <v>0</v>
      </c>
      <c r="E18">
        <f t="shared" si="0"/>
        <v>20</v>
      </c>
      <c r="F18">
        <f ca="1">MATCH(E18,QUARTILE(OFFSET(aRoundedScores,$B18-1,0,1,$B$2),{0,1,2,3}))</f>
        <v>1</v>
      </c>
      <c r="G18" s="155">
        <f ca="1" t="shared" si="4"/>
        <v>3</v>
      </c>
      <c r="H18">
        <f t="shared" si="5"/>
        <v>3</v>
      </c>
      <c r="I18" s="155" t="str">
        <f ca="1" t="shared" si="6"/>
        <v>x</v>
      </c>
      <c r="K18">
        <f ca="1" t="shared" si="7"/>
        <v>49</v>
      </c>
      <c r="L18">
        <f ca="1" t="shared" si="8"/>
        <v>41</v>
      </c>
      <c r="M18" t="e">
        <f ca="1" t="shared" si="9"/>
        <v>#N/A</v>
      </c>
      <c r="O18">
        <f ca="1" t="shared" si="10"/>
        <v>49</v>
      </c>
      <c r="P18">
        <f ca="1" t="shared" si="11"/>
        <v>41</v>
      </c>
      <c r="Q18">
        <f ca="1" t="shared" si="12"/>
        <v>0</v>
      </c>
    </row>
    <row r="19" spans="2:17">
      <c r="B19">
        <f>tblIndicators!A6</f>
        <v>5</v>
      </c>
      <c r="C19">
        <f>tblIndicators!D6</f>
        <v>3</v>
      </c>
      <c r="D19" t="b">
        <f t="shared" si="3"/>
        <v>0</v>
      </c>
      <c r="E19">
        <f t="shared" si="0"/>
        <v>66.67</v>
      </c>
      <c r="F19">
        <f ca="1">MATCH(E19,QUARTILE(OFFSET(aRoundedScores,$B19-1,0,1,$B$2),{0,1,2,3}))</f>
        <v>4</v>
      </c>
      <c r="G19" s="155">
        <f ca="1" t="shared" si="4"/>
        <v>1</v>
      </c>
      <c r="H19">
        <f t="shared" si="5"/>
        <v>2</v>
      </c>
      <c r="I19" s="155" t="str">
        <f ca="1" t="shared" si="6"/>
        <v>x</v>
      </c>
      <c r="K19" t="e">
        <f ca="1" t="shared" si="7"/>
        <v>#N/A</v>
      </c>
      <c r="L19" t="e">
        <f ca="1" t="shared" si="8"/>
        <v>#N/A</v>
      </c>
      <c r="M19" t="e">
        <f ca="1" t="shared" si="9"/>
        <v>#N/A</v>
      </c>
      <c r="O19">
        <f ca="1" t="shared" si="10"/>
        <v>0</v>
      </c>
      <c r="P19">
        <f ca="1" t="shared" si="11"/>
        <v>0</v>
      </c>
      <c r="Q19">
        <f ca="1" t="shared" si="12"/>
        <v>0</v>
      </c>
    </row>
    <row r="20" spans="2:17">
      <c r="B20">
        <f>tblIndicators!A7</f>
        <v>6</v>
      </c>
      <c r="C20">
        <f>tblIndicators!D7</f>
        <v>3</v>
      </c>
      <c r="D20" t="b">
        <f t="shared" si="3"/>
        <v>0</v>
      </c>
      <c r="E20">
        <f t="shared" si="0"/>
        <v>0</v>
      </c>
      <c r="F20">
        <f ca="1">MATCH(E20,QUARTILE(OFFSET(aRoundedScores,$B20-1,0,1,$B$2),{0,1,2,3}))</f>
        <v>4</v>
      </c>
      <c r="G20" s="155">
        <f ca="1" t="shared" si="4"/>
        <v>1</v>
      </c>
      <c r="H20">
        <f t="shared" si="5"/>
        <v>3</v>
      </c>
      <c r="I20" s="155" t="str">
        <f ca="1" t="shared" si="6"/>
        <v>x</v>
      </c>
      <c r="K20" t="e">
        <f ca="1" t="shared" si="7"/>
        <v>#N/A</v>
      </c>
      <c r="L20" t="e">
        <f ca="1" t="shared" si="8"/>
        <v>#N/A</v>
      </c>
      <c r="M20" t="e">
        <f ca="1" t="shared" si="9"/>
        <v>#N/A</v>
      </c>
      <c r="O20">
        <f ca="1" t="shared" si="10"/>
        <v>0</v>
      </c>
      <c r="P20">
        <f ca="1" t="shared" si="11"/>
        <v>0</v>
      </c>
      <c r="Q20">
        <f ca="1" t="shared" si="12"/>
        <v>0</v>
      </c>
    </row>
    <row r="21" spans="2:17">
      <c r="B21">
        <f>tblIndicators!A8</f>
        <v>7</v>
      </c>
      <c r="C21">
        <f>tblIndicators!D8</f>
        <v>3</v>
      </c>
      <c r="D21" t="b">
        <f t="shared" si="3"/>
        <v>0</v>
      </c>
      <c r="E21">
        <f t="shared" si="0"/>
        <v>50</v>
      </c>
      <c r="F21">
        <f ca="1">MATCH(E21,QUARTILE(OFFSET(aRoundedScores,$B21-1,0,1,$B$2),{0,1,2,3}))</f>
        <v>4</v>
      </c>
      <c r="G21" s="155">
        <f ca="1" t="shared" si="4"/>
        <v>1</v>
      </c>
      <c r="H21">
        <f t="shared" si="5"/>
        <v>2</v>
      </c>
      <c r="I21" s="155" t="str">
        <f ca="1" t="shared" si="6"/>
        <v>x</v>
      </c>
      <c r="K21" t="e">
        <f ca="1" t="shared" si="7"/>
        <v>#N/A</v>
      </c>
      <c r="L21" t="e">
        <f ca="1" t="shared" si="8"/>
        <v>#N/A</v>
      </c>
      <c r="M21" t="e">
        <f ca="1" t="shared" si="9"/>
        <v>#N/A</v>
      </c>
      <c r="O21">
        <f ca="1" t="shared" si="10"/>
        <v>0</v>
      </c>
      <c r="P21">
        <f ca="1" t="shared" si="11"/>
        <v>0</v>
      </c>
      <c r="Q21">
        <f ca="1" t="shared" si="12"/>
        <v>0</v>
      </c>
    </row>
    <row r="22" spans="2:17">
      <c r="B22">
        <f>tblIndicators!A9</f>
        <v>8</v>
      </c>
      <c r="C22">
        <f>tblIndicators!D9</f>
        <v>3</v>
      </c>
      <c r="D22" t="b">
        <f t="shared" si="3"/>
        <v>0</v>
      </c>
      <c r="E22">
        <f t="shared" si="0"/>
        <v>100</v>
      </c>
      <c r="F22">
        <f ca="1">MATCH(E22,QUARTILE(OFFSET(aRoundedScores,$B22-1,0,1,$B$2),{0,1,2,3}))</f>
        <v>4</v>
      </c>
      <c r="G22" s="155">
        <f ca="1" t="shared" si="4"/>
        <v>1</v>
      </c>
      <c r="H22">
        <f t="shared" si="5"/>
        <v>1</v>
      </c>
      <c r="I22" s="155" t="str">
        <f ca="1" t="shared" si="6"/>
        <v>x</v>
      </c>
      <c r="K22" t="e">
        <f ca="1" t="shared" si="7"/>
        <v>#N/A</v>
      </c>
      <c r="L22" t="e">
        <f ca="1" t="shared" si="8"/>
        <v>#N/A</v>
      </c>
      <c r="M22" t="e">
        <f ca="1" t="shared" si="9"/>
        <v>#N/A</v>
      </c>
      <c r="O22">
        <f ca="1" t="shared" si="10"/>
        <v>0</v>
      </c>
      <c r="P22">
        <f ca="1" t="shared" si="11"/>
        <v>0</v>
      </c>
      <c r="Q22">
        <f ca="1" t="shared" si="12"/>
        <v>0</v>
      </c>
    </row>
    <row r="23" spans="2:17">
      <c r="B23">
        <f>tblIndicators!A10</f>
        <v>9</v>
      </c>
      <c r="C23">
        <f>tblIndicators!D10</f>
        <v>3</v>
      </c>
      <c r="D23" t="b">
        <f t="shared" si="3"/>
        <v>0</v>
      </c>
      <c r="E23">
        <f t="shared" si="0"/>
        <v>100</v>
      </c>
      <c r="F23">
        <f ca="1">MATCH(E23,QUARTILE(OFFSET(aRoundedScores,$B23-1,0,1,$B$2),{0,1,2,3}))</f>
        <v>4</v>
      </c>
      <c r="G23" s="155">
        <f ca="1" t="shared" si="4"/>
        <v>1</v>
      </c>
      <c r="H23">
        <f t="shared" si="5"/>
        <v>1</v>
      </c>
      <c r="I23" s="155" t="str">
        <f ca="1" t="shared" si="6"/>
        <v>x</v>
      </c>
      <c r="K23" t="e">
        <f ca="1" t="shared" si="7"/>
        <v>#N/A</v>
      </c>
      <c r="L23" t="e">
        <f ca="1" t="shared" si="8"/>
        <v>#N/A</v>
      </c>
      <c r="M23" t="e">
        <f ca="1" t="shared" si="9"/>
        <v>#N/A</v>
      </c>
      <c r="O23">
        <f ca="1" t="shared" si="10"/>
        <v>0</v>
      </c>
      <c r="P23">
        <f ca="1" t="shared" si="11"/>
        <v>0</v>
      </c>
      <c r="Q23">
        <f ca="1" t="shared" si="12"/>
        <v>0</v>
      </c>
    </row>
    <row r="24" spans="2:17">
      <c r="B24">
        <f>tblIndicators!A11</f>
        <v>10</v>
      </c>
      <c r="C24">
        <f>tblIndicators!D11</f>
        <v>2</v>
      </c>
      <c r="D24" t="b">
        <f t="shared" si="3"/>
        <v>1</v>
      </c>
      <c r="E24">
        <f t="shared" si="0"/>
        <v>80.08</v>
      </c>
      <c r="F24">
        <f ca="1">MATCH(E24,QUARTILE(OFFSET(aRoundedScores,$B24-1,0,1,$B$2),{0,1,2,3}))</f>
        <v>4</v>
      </c>
      <c r="G24" s="155">
        <f ca="1" t="shared" si="4"/>
        <v>1</v>
      </c>
      <c r="H24">
        <f t="shared" si="5"/>
        <v>1</v>
      </c>
      <c r="I24" s="155">
        <f ca="1" t="shared" si="6"/>
        <v>1</v>
      </c>
      <c r="K24" t="e">
        <f ca="1" t="shared" si="7"/>
        <v>#N/A</v>
      </c>
      <c r="L24" t="e">
        <f ca="1" t="shared" si="8"/>
        <v>#N/A</v>
      </c>
      <c r="M24" t="e">
        <f ca="1" t="shared" si="9"/>
        <v>#N/A</v>
      </c>
      <c r="O24">
        <f ca="1" t="shared" si="10"/>
        <v>0</v>
      </c>
      <c r="P24">
        <f ca="1" t="shared" si="11"/>
        <v>0</v>
      </c>
      <c r="Q24">
        <f ca="1" t="shared" si="12"/>
        <v>0</v>
      </c>
    </row>
    <row r="25" spans="2:17">
      <c r="B25">
        <f>tblIndicators!A12</f>
        <v>11</v>
      </c>
      <c r="C25">
        <f>tblIndicators!D12</f>
        <v>3</v>
      </c>
      <c r="D25" t="b">
        <f t="shared" si="3"/>
        <v>0</v>
      </c>
      <c r="E25">
        <f t="shared" si="0"/>
        <v>98</v>
      </c>
      <c r="F25">
        <f ca="1">MATCH(E25,QUARTILE(OFFSET(aRoundedScores,$B25-1,0,1,$B$2),{0,1,2,3}))</f>
        <v>4</v>
      </c>
      <c r="G25" s="155">
        <f ca="1" t="shared" si="4"/>
        <v>1</v>
      </c>
      <c r="H25">
        <f t="shared" si="5"/>
        <v>1</v>
      </c>
      <c r="I25" s="155" t="str">
        <f ca="1" t="shared" si="6"/>
        <v>x</v>
      </c>
      <c r="K25" t="e">
        <f ca="1" t="shared" si="7"/>
        <v>#N/A</v>
      </c>
      <c r="L25" t="e">
        <f ca="1" t="shared" si="8"/>
        <v>#N/A</v>
      </c>
      <c r="M25" t="e">
        <f ca="1" t="shared" si="9"/>
        <v>#N/A</v>
      </c>
      <c r="O25">
        <f ca="1" t="shared" si="10"/>
        <v>0</v>
      </c>
      <c r="P25">
        <f ca="1" t="shared" si="11"/>
        <v>0</v>
      </c>
      <c r="Q25">
        <f ca="1" t="shared" si="12"/>
        <v>0</v>
      </c>
    </row>
    <row r="26" spans="2:17">
      <c r="B26">
        <f>tblIndicators!A13</f>
        <v>12</v>
      </c>
      <c r="C26">
        <f>tblIndicators!D13</f>
        <v>3</v>
      </c>
      <c r="D26" t="b">
        <f t="shared" si="3"/>
        <v>0</v>
      </c>
      <c r="E26">
        <f t="shared" si="0"/>
        <v>50</v>
      </c>
      <c r="F26">
        <f ca="1">MATCH(E26,QUARTILE(OFFSET(aRoundedScores,$B26-1,0,1,$B$2),{0,1,2,3}))</f>
        <v>4</v>
      </c>
      <c r="G26" s="155">
        <f ca="1" t="shared" si="4"/>
        <v>1</v>
      </c>
      <c r="H26">
        <f t="shared" si="5"/>
        <v>2</v>
      </c>
      <c r="I26" s="155" t="str">
        <f ca="1" t="shared" si="6"/>
        <v>x</v>
      </c>
      <c r="K26" t="e">
        <f ca="1" t="shared" si="7"/>
        <v>#N/A</v>
      </c>
      <c r="L26" t="e">
        <f ca="1" t="shared" si="8"/>
        <v>#N/A</v>
      </c>
      <c r="M26" t="e">
        <f ca="1" t="shared" si="9"/>
        <v>#N/A</v>
      </c>
      <c r="O26">
        <f ca="1" t="shared" si="10"/>
        <v>0</v>
      </c>
      <c r="P26">
        <f ca="1" t="shared" si="11"/>
        <v>0</v>
      </c>
      <c r="Q26">
        <f ca="1" t="shared" si="12"/>
        <v>0</v>
      </c>
    </row>
    <row r="27" spans="2:17">
      <c r="B27">
        <f>tblIndicators!A14</f>
        <v>13</v>
      </c>
      <c r="C27">
        <f>tblIndicators!D14</f>
        <v>3</v>
      </c>
      <c r="D27" t="b">
        <f t="shared" si="3"/>
        <v>0</v>
      </c>
      <c r="E27">
        <f t="shared" si="0"/>
        <v>92.24</v>
      </c>
      <c r="F27">
        <f ca="1">MATCH(E27,QUARTILE(OFFSET(aRoundedScores,$B27-1,0,1,$B$2),{0,1,2,3}))</f>
        <v>4</v>
      </c>
      <c r="G27" s="155">
        <f ca="1" t="shared" si="4"/>
        <v>1</v>
      </c>
      <c r="H27">
        <f t="shared" si="5"/>
        <v>1</v>
      </c>
      <c r="I27" s="155" t="str">
        <f ca="1" t="shared" si="6"/>
        <v>x</v>
      </c>
      <c r="K27" t="e">
        <f ca="1" t="shared" si="7"/>
        <v>#N/A</v>
      </c>
      <c r="L27" t="e">
        <f ca="1" t="shared" si="8"/>
        <v>#N/A</v>
      </c>
      <c r="M27" t="e">
        <f ca="1" t="shared" si="9"/>
        <v>#N/A</v>
      </c>
      <c r="O27">
        <f ca="1" t="shared" si="10"/>
        <v>0</v>
      </c>
      <c r="P27">
        <f ca="1" t="shared" si="11"/>
        <v>0</v>
      </c>
      <c r="Q27">
        <f ca="1" t="shared" si="12"/>
        <v>0</v>
      </c>
    </row>
    <row r="28" spans="2:17">
      <c r="B28">
        <f>tblIndicators!A15</f>
        <v>14</v>
      </c>
      <c r="C28">
        <f>tblIndicators!D15</f>
        <v>1</v>
      </c>
      <c r="D28" t="b">
        <f t="shared" si="3"/>
        <v>0</v>
      </c>
      <c r="E28">
        <f t="shared" si="0"/>
        <v>52.06</v>
      </c>
      <c r="F28">
        <f ca="1">MATCH(E28,QUARTILE(OFFSET(aRoundedScores,$B28-1,0,1,$B$2),{0,1,2,3}))</f>
        <v>1</v>
      </c>
      <c r="G28" s="155">
        <f ca="1" t="shared" si="4"/>
        <v>3</v>
      </c>
      <c r="H28">
        <f t="shared" si="5"/>
        <v>2</v>
      </c>
      <c r="I28" s="155" t="str">
        <f ca="1" t="shared" si="6"/>
        <v>x</v>
      </c>
      <c r="K28" t="e">
        <f ca="1" t="shared" si="7"/>
        <v>#N/A</v>
      </c>
      <c r="L28" t="e">
        <f ca="1" t="shared" si="8"/>
        <v>#N/A</v>
      </c>
      <c r="M28" t="e">
        <f ca="1" t="shared" si="9"/>
        <v>#N/A</v>
      </c>
      <c r="O28">
        <f ca="1" t="shared" si="10"/>
        <v>0</v>
      </c>
      <c r="P28">
        <f ca="1" t="shared" si="11"/>
        <v>0</v>
      </c>
      <c r="Q28">
        <f ca="1" t="shared" si="12"/>
        <v>0</v>
      </c>
    </row>
    <row r="29" spans="2:17">
      <c r="B29">
        <f>tblIndicators!A16</f>
        <v>15</v>
      </c>
      <c r="C29">
        <f>tblIndicators!D16</f>
        <v>2</v>
      </c>
      <c r="D29" t="b">
        <f t="shared" si="3"/>
        <v>1</v>
      </c>
      <c r="E29">
        <f t="shared" si="0"/>
        <v>54.38</v>
      </c>
      <c r="F29">
        <f ca="1">MATCH(E29,QUARTILE(OFFSET(aRoundedScores,$B29-1,0,1,$B$2),{0,1,2,3}))</f>
        <v>2</v>
      </c>
      <c r="G29" s="155">
        <f ca="1" t="shared" si="4"/>
        <v>2</v>
      </c>
      <c r="H29">
        <f t="shared" si="5"/>
        <v>2</v>
      </c>
      <c r="I29" s="155">
        <f ca="1" t="shared" si="6"/>
        <v>2</v>
      </c>
      <c r="K29" t="e">
        <f ca="1" t="shared" si="7"/>
        <v>#N/A</v>
      </c>
      <c r="L29" t="e">
        <f ca="1" t="shared" si="8"/>
        <v>#N/A</v>
      </c>
      <c r="M29" t="e">
        <f ca="1" t="shared" si="9"/>
        <v>#N/A</v>
      </c>
      <c r="O29">
        <f ca="1" t="shared" si="10"/>
        <v>0</v>
      </c>
      <c r="P29">
        <f ca="1" t="shared" si="11"/>
        <v>0</v>
      </c>
      <c r="Q29">
        <f ca="1" t="shared" si="12"/>
        <v>0</v>
      </c>
    </row>
    <row r="30" spans="2:17">
      <c r="B30">
        <f>tblIndicators!A17</f>
        <v>16</v>
      </c>
      <c r="C30">
        <f>tblIndicators!D17</f>
        <v>3</v>
      </c>
      <c r="D30" t="b">
        <f t="shared" si="3"/>
        <v>0</v>
      </c>
      <c r="E30">
        <f t="shared" si="0"/>
        <v>53.85</v>
      </c>
      <c r="F30">
        <f ca="1">MATCH(E30,QUARTILE(OFFSET(aRoundedScores,$B30-1,0,1,$B$2),{0,1,2,3}))</f>
        <v>1</v>
      </c>
      <c r="G30" s="155">
        <f ca="1" t="shared" si="4"/>
        <v>3</v>
      </c>
      <c r="H30">
        <f t="shared" si="5"/>
        <v>2</v>
      </c>
      <c r="I30" s="155" t="str">
        <f ca="1" t="shared" si="6"/>
        <v>x</v>
      </c>
      <c r="K30" t="e">
        <f ca="1" t="shared" si="7"/>
        <v>#N/A</v>
      </c>
      <c r="L30" t="e">
        <f ca="1" t="shared" si="8"/>
        <v>#N/A</v>
      </c>
      <c r="M30" t="e">
        <f ca="1" t="shared" si="9"/>
        <v>#N/A</v>
      </c>
      <c r="O30">
        <f ca="1" t="shared" si="10"/>
        <v>0</v>
      </c>
      <c r="P30">
        <f ca="1" t="shared" si="11"/>
        <v>0</v>
      </c>
      <c r="Q30">
        <f ca="1" t="shared" si="12"/>
        <v>0</v>
      </c>
    </row>
    <row r="31" spans="2:17">
      <c r="B31">
        <f>tblIndicators!A18</f>
        <v>17</v>
      </c>
      <c r="C31">
        <f>tblIndicators!D18</f>
        <v>3</v>
      </c>
      <c r="D31" t="b">
        <f t="shared" si="3"/>
        <v>0</v>
      </c>
      <c r="E31">
        <f t="shared" si="0"/>
        <v>74.75</v>
      </c>
      <c r="F31">
        <f ca="1">MATCH(E31,QUARTILE(OFFSET(aRoundedScores,$B31-1,0,1,$B$2),{0,1,2,3}))</f>
        <v>2</v>
      </c>
      <c r="G31" s="155">
        <f ca="1" t="shared" si="4"/>
        <v>2</v>
      </c>
      <c r="H31">
        <f t="shared" si="5"/>
        <v>2</v>
      </c>
      <c r="I31" s="155" t="str">
        <f ca="1" t="shared" si="6"/>
        <v>x</v>
      </c>
      <c r="K31" t="e">
        <f ca="1" t="shared" si="7"/>
        <v>#N/A</v>
      </c>
      <c r="L31" t="e">
        <f ca="1" t="shared" si="8"/>
        <v>#N/A</v>
      </c>
      <c r="M31" t="e">
        <f ca="1" t="shared" si="9"/>
        <v>#N/A</v>
      </c>
      <c r="O31">
        <f ca="1" t="shared" si="10"/>
        <v>0</v>
      </c>
      <c r="P31">
        <f ca="1" t="shared" si="11"/>
        <v>0</v>
      </c>
      <c r="Q31">
        <f ca="1" t="shared" si="12"/>
        <v>0</v>
      </c>
    </row>
    <row r="32" spans="2:17">
      <c r="B32">
        <f>tblIndicators!A19</f>
        <v>18</v>
      </c>
      <c r="C32">
        <f>tblIndicators!D19</f>
        <v>3</v>
      </c>
      <c r="D32" t="b">
        <f t="shared" si="3"/>
        <v>0</v>
      </c>
      <c r="E32">
        <f t="shared" si="0"/>
        <v>11.19</v>
      </c>
      <c r="F32">
        <f ca="1">MATCH(E32,QUARTILE(OFFSET(aRoundedScores,$B32-1,0,1,$B$2),{0,1,2,3}))</f>
        <v>2</v>
      </c>
      <c r="G32" s="155">
        <f ca="1" t="shared" si="4"/>
        <v>2</v>
      </c>
      <c r="H32">
        <f t="shared" si="5"/>
        <v>3</v>
      </c>
      <c r="I32" s="155" t="str">
        <f ca="1" t="shared" si="6"/>
        <v>x</v>
      </c>
      <c r="K32" t="e">
        <f ca="1" t="shared" si="7"/>
        <v>#N/A</v>
      </c>
      <c r="L32" t="e">
        <f ca="1" t="shared" si="8"/>
        <v>#N/A</v>
      </c>
      <c r="M32" t="e">
        <f ca="1" t="shared" si="9"/>
        <v>#N/A</v>
      </c>
      <c r="O32">
        <f ca="1" t="shared" si="10"/>
        <v>0</v>
      </c>
      <c r="P32">
        <f ca="1" t="shared" si="11"/>
        <v>0</v>
      </c>
      <c r="Q32">
        <f ca="1" t="shared" si="12"/>
        <v>0</v>
      </c>
    </row>
    <row r="33" spans="2:17">
      <c r="B33">
        <f>tblIndicators!A20</f>
        <v>19</v>
      </c>
      <c r="C33">
        <f>tblIndicators!D20</f>
        <v>3</v>
      </c>
      <c r="D33" t="b">
        <f t="shared" si="3"/>
        <v>0</v>
      </c>
      <c r="E33">
        <f t="shared" si="0"/>
        <v>11.49</v>
      </c>
      <c r="F33">
        <f ca="1">MATCH(E33,QUARTILE(OFFSET(aRoundedScores,$B33-1,0,1,$B$2),{0,1,2,3}))</f>
        <v>2</v>
      </c>
      <c r="G33" s="155">
        <f ca="1" t="shared" si="4"/>
        <v>2</v>
      </c>
      <c r="H33">
        <f t="shared" si="5"/>
        <v>3</v>
      </c>
      <c r="I33" s="155" t="str">
        <f ca="1" t="shared" si="6"/>
        <v>x</v>
      </c>
      <c r="K33" t="e">
        <f ca="1" t="shared" si="7"/>
        <v>#N/A</v>
      </c>
      <c r="L33" t="e">
        <f ca="1" t="shared" si="8"/>
        <v>#N/A</v>
      </c>
      <c r="M33" t="e">
        <f ca="1" t="shared" si="9"/>
        <v>#N/A</v>
      </c>
      <c r="O33">
        <f ca="1" t="shared" si="10"/>
        <v>0</v>
      </c>
      <c r="P33">
        <f ca="1" t="shared" si="11"/>
        <v>0</v>
      </c>
      <c r="Q33">
        <f ca="1" t="shared" si="12"/>
        <v>0</v>
      </c>
    </row>
    <row r="34" spans="2:17">
      <c r="B34">
        <f>tblIndicators!A21</f>
        <v>20</v>
      </c>
      <c r="C34">
        <f>tblIndicators!D21</f>
        <v>3</v>
      </c>
      <c r="D34" t="b">
        <f t="shared" si="3"/>
        <v>0</v>
      </c>
      <c r="E34">
        <f t="shared" si="0"/>
        <v>100</v>
      </c>
      <c r="F34">
        <f ca="1">MATCH(E34,QUARTILE(OFFSET(aRoundedScores,$B34-1,0,1,$B$2),{0,1,2,3}))</f>
        <v>4</v>
      </c>
      <c r="G34" s="155">
        <f ca="1" t="shared" si="4"/>
        <v>1</v>
      </c>
      <c r="H34">
        <f t="shared" si="5"/>
        <v>1</v>
      </c>
      <c r="I34" s="155" t="str">
        <f ca="1" t="shared" si="6"/>
        <v>x</v>
      </c>
      <c r="K34" t="e">
        <f ca="1" t="shared" si="7"/>
        <v>#N/A</v>
      </c>
      <c r="L34" t="e">
        <f ca="1" t="shared" si="8"/>
        <v>#N/A</v>
      </c>
      <c r="M34" t="e">
        <f ca="1" t="shared" si="9"/>
        <v>#N/A</v>
      </c>
      <c r="O34">
        <f ca="1" t="shared" si="10"/>
        <v>0</v>
      </c>
      <c r="P34">
        <f ca="1" t="shared" si="11"/>
        <v>0</v>
      </c>
      <c r="Q34">
        <f ca="1" t="shared" si="12"/>
        <v>0</v>
      </c>
    </row>
    <row r="35" spans="2:17">
      <c r="B35">
        <f>tblIndicators!A22</f>
        <v>21</v>
      </c>
      <c r="C35">
        <f>tblIndicators!D22</f>
        <v>3</v>
      </c>
      <c r="D35" t="b">
        <f t="shared" si="3"/>
        <v>0</v>
      </c>
      <c r="E35">
        <f t="shared" si="0"/>
        <v>75</v>
      </c>
      <c r="F35">
        <f ca="1">MATCH(E35,QUARTILE(OFFSET(aRoundedScores,$B35-1,0,1,$B$2),{0,1,2,3}))</f>
        <v>2</v>
      </c>
      <c r="G35" s="155">
        <f ca="1" t="shared" si="4"/>
        <v>2</v>
      </c>
      <c r="H35">
        <f t="shared" si="5"/>
        <v>1</v>
      </c>
      <c r="I35" s="155" t="str">
        <f ca="1" t="shared" si="6"/>
        <v>x</v>
      </c>
      <c r="K35" t="e">
        <f ca="1" t="shared" si="7"/>
        <v>#N/A</v>
      </c>
      <c r="L35" t="e">
        <f ca="1" t="shared" si="8"/>
        <v>#N/A</v>
      </c>
      <c r="M35" t="e">
        <f ca="1" t="shared" si="9"/>
        <v>#N/A</v>
      </c>
      <c r="O35">
        <f ca="1" t="shared" si="10"/>
        <v>0</v>
      </c>
      <c r="P35">
        <f ca="1" t="shared" si="11"/>
        <v>0</v>
      </c>
      <c r="Q35">
        <f ca="1" t="shared" si="12"/>
        <v>0</v>
      </c>
    </row>
    <row r="36" spans="2:17">
      <c r="B36">
        <f>tblIndicators!A23</f>
        <v>22</v>
      </c>
      <c r="C36">
        <f>tblIndicators!D23</f>
        <v>2</v>
      </c>
      <c r="D36" t="b">
        <f t="shared" si="3"/>
        <v>1</v>
      </c>
      <c r="E36">
        <f t="shared" si="0"/>
        <v>49.75</v>
      </c>
      <c r="F36">
        <f ca="1">MATCH(E36,QUARTILE(OFFSET(aRoundedScores,$B36-1,0,1,$B$2),{0,1,2,3}))</f>
        <v>1</v>
      </c>
      <c r="G36" s="155">
        <f ca="1" t="shared" si="4"/>
        <v>3</v>
      </c>
      <c r="H36">
        <f t="shared" si="5"/>
        <v>2</v>
      </c>
      <c r="I36" s="155">
        <f ca="1" t="shared" si="6"/>
        <v>2</v>
      </c>
      <c r="K36" t="e">
        <f ca="1" t="shared" si="7"/>
        <v>#N/A</v>
      </c>
      <c r="L36" t="e">
        <f ca="1" t="shared" si="8"/>
        <v>#N/A</v>
      </c>
      <c r="M36" t="e">
        <f ca="1" t="shared" si="9"/>
        <v>#N/A</v>
      </c>
      <c r="O36">
        <f ca="1" t="shared" si="10"/>
        <v>0</v>
      </c>
      <c r="P36">
        <f ca="1" t="shared" si="11"/>
        <v>0</v>
      </c>
      <c r="Q36">
        <f ca="1" t="shared" si="12"/>
        <v>0</v>
      </c>
    </row>
    <row r="37" spans="2:17">
      <c r="B37">
        <f>tblIndicators!A24</f>
        <v>23</v>
      </c>
      <c r="C37">
        <f>tblIndicators!D24</f>
        <v>3</v>
      </c>
      <c r="D37" t="b">
        <f t="shared" si="3"/>
        <v>0</v>
      </c>
      <c r="E37">
        <f t="shared" si="0"/>
        <v>36.36</v>
      </c>
      <c r="F37">
        <f ca="1">MATCH(E37,QUARTILE(OFFSET(aRoundedScores,$B37-1,0,1,$B$2),{0,1,2,3}))</f>
        <v>1</v>
      </c>
      <c r="G37" s="155">
        <f ca="1" t="shared" si="4"/>
        <v>3</v>
      </c>
      <c r="H37">
        <f t="shared" si="5"/>
        <v>2</v>
      </c>
      <c r="I37" s="155" t="str">
        <f ca="1" t="shared" si="6"/>
        <v>x</v>
      </c>
      <c r="K37" t="e">
        <f ca="1" t="shared" si="7"/>
        <v>#N/A</v>
      </c>
      <c r="L37" t="e">
        <f ca="1" t="shared" si="8"/>
        <v>#N/A</v>
      </c>
      <c r="M37" t="e">
        <f ca="1" t="shared" si="9"/>
        <v>#N/A</v>
      </c>
      <c r="O37">
        <f ca="1" t="shared" si="10"/>
        <v>0</v>
      </c>
      <c r="P37">
        <f ca="1" t="shared" si="11"/>
        <v>0</v>
      </c>
      <c r="Q37">
        <f ca="1" t="shared" si="12"/>
        <v>0</v>
      </c>
    </row>
    <row r="38" spans="2:17">
      <c r="B38">
        <f>tblIndicators!A25</f>
        <v>24</v>
      </c>
      <c r="C38">
        <f>tblIndicators!D25</f>
        <v>3</v>
      </c>
      <c r="D38" t="b">
        <f t="shared" si="3"/>
        <v>0</v>
      </c>
      <c r="E38">
        <f t="shared" si="0"/>
        <v>60.61</v>
      </c>
      <c r="F38">
        <f ca="1">MATCH(E38,QUARTILE(OFFSET(aRoundedScores,$B38-1,0,1,$B$2),{0,1,2,3}))</f>
        <v>2</v>
      </c>
      <c r="G38" s="155">
        <f ca="1" t="shared" si="4"/>
        <v>2</v>
      </c>
      <c r="H38">
        <f t="shared" si="5"/>
        <v>2</v>
      </c>
      <c r="I38" s="155" t="str">
        <f ca="1" t="shared" si="6"/>
        <v>x</v>
      </c>
      <c r="K38" t="e">
        <f ca="1" t="shared" si="7"/>
        <v>#N/A</v>
      </c>
      <c r="L38" t="e">
        <f ca="1" t="shared" si="8"/>
        <v>#N/A</v>
      </c>
      <c r="M38" t="e">
        <f ca="1" t="shared" si="9"/>
        <v>#N/A</v>
      </c>
      <c r="O38">
        <f ca="1" t="shared" si="10"/>
        <v>0</v>
      </c>
      <c r="P38">
        <f ca="1" t="shared" si="11"/>
        <v>0</v>
      </c>
      <c r="Q38">
        <f ca="1" t="shared" si="12"/>
        <v>0</v>
      </c>
    </row>
    <row r="39" spans="2:17">
      <c r="B39">
        <f>tblIndicators!A26</f>
        <v>25</v>
      </c>
      <c r="C39">
        <f>tblIndicators!D26</f>
        <v>3</v>
      </c>
      <c r="D39" t="b">
        <f t="shared" si="3"/>
        <v>0</v>
      </c>
      <c r="E39">
        <f t="shared" si="0"/>
        <v>66.16</v>
      </c>
      <c r="F39">
        <f ca="1">MATCH(E39,QUARTILE(OFFSET(aRoundedScores,$B39-1,0,1,$B$2),{0,1,2,3}))</f>
        <v>2</v>
      </c>
      <c r="G39" s="155">
        <f ca="1" t="shared" si="4"/>
        <v>2</v>
      </c>
      <c r="H39">
        <f t="shared" si="5"/>
        <v>2</v>
      </c>
      <c r="I39" s="155" t="str">
        <f ca="1" t="shared" si="6"/>
        <v>x</v>
      </c>
      <c r="K39" t="e">
        <f ca="1" t="shared" si="7"/>
        <v>#N/A</v>
      </c>
      <c r="L39" t="e">
        <f ca="1" t="shared" si="8"/>
        <v>#N/A</v>
      </c>
      <c r="M39" t="e">
        <f ca="1" t="shared" si="9"/>
        <v>#N/A</v>
      </c>
      <c r="O39">
        <f ca="1" t="shared" si="10"/>
        <v>0</v>
      </c>
      <c r="P39">
        <f ca="1" t="shared" si="11"/>
        <v>0</v>
      </c>
      <c r="Q39">
        <f ca="1" t="shared" si="12"/>
        <v>0</v>
      </c>
    </row>
    <row r="40" spans="2:17">
      <c r="B40">
        <f>tblIndicators!A27</f>
        <v>26</v>
      </c>
      <c r="C40">
        <f>tblIndicators!D27</f>
        <v>3</v>
      </c>
      <c r="D40" t="b">
        <f t="shared" si="3"/>
        <v>0</v>
      </c>
      <c r="E40">
        <f t="shared" si="0"/>
        <v>85.6</v>
      </c>
      <c r="F40">
        <f ca="1">MATCH(E40,QUARTILE(OFFSET(aRoundedScores,$B40-1,0,1,$B$2),{0,1,2,3}))</f>
        <v>2</v>
      </c>
      <c r="G40" s="155">
        <f ca="1" t="shared" si="4"/>
        <v>2</v>
      </c>
      <c r="H40">
        <f t="shared" si="5"/>
        <v>1</v>
      </c>
      <c r="I40" s="155" t="str">
        <f ca="1" t="shared" si="6"/>
        <v>x</v>
      </c>
      <c r="K40" t="e">
        <f ca="1" t="shared" si="7"/>
        <v>#N/A</v>
      </c>
      <c r="L40" t="e">
        <f ca="1" t="shared" si="8"/>
        <v>#N/A</v>
      </c>
      <c r="M40" t="e">
        <f ca="1" t="shared" si="9"/>
        <v>#N/A</v>
      </c>
      <c r="O40">
        <f ca="1" t="shared" si="10"/>
        <v>0</v>
      </c>
      <c r="P40">
        <f ca="1" t="shared" si="11"/>
        <v>0</v>
      </c>
      <c r="Q40">
        <f ca="1" t="shared" si="12"/>
        <v>0</v>
      </c>
    </row>
    <row r="41" spans="2:17">
      <c r="B41">
        <f>tblIndicators!A28</f>
        <v>27</v>
      </c>
      <c r="C41">
        <f>tblIndicators!D28</f>
        <v>3</v>
      </c>
      <c r="D41" t="b">
        <f t="shared" si="3"/>
        <v>0</v>
      </c>
      <c r="E41">
        <f t="shared" si="0"/>
        <v>0</v>
      </c>
      <c r="F41">
        <f ca="1">MATCH(E41,QUARTILE(OFFSET(aRoundedScores,$B41-1,0,1,$B$2),{0,1,2,3}))</f>
        <v>1</v>
      </c>
      <c r="G41" s="155">
        <f ca="1" t="shared" si="4"/>
        <v>3</v>
      </c>
      <c r="H41">
        <f t="shared" si="5"/>
        <v>3</v>
      </c>
      <c r="I41" s="155" t="str">
        <f ca="1" t="shared" si="6"/>
        <v>x</v>
      </c>
      <c r="K41" t="e">
        <f ca="1" t="shared" si="7"/>
        <v>#N/A</v>
      </c>
      <c r="L41" t="e">
        <f ca="1" t="shared" si="8"/>
        <v>#N/A</v>
      </c>
      <c r="M41" t="e">
        <f ca="1" t="shared" si="9"/>
        <v>#N/A</v>
      </c>
      <c r="O41">
        <f ca="1" t="shared" si="10"/>
        <v>0</v>
      </c>
      <c r="P41">
        <f ca="1" t="shared" si="11"/>
        <v>0</v>
      </c>
      <c r="Q41">
        <f ca="1" t="shared" si="12"/>
        <v>0</v>
      </c>
    </row>
    <row r="42" spans="2:17">
      <c r="B42">
        <f>tblIndicators!A29</f>
        <v>28</v>
      </c>
      <c r="C42">
        <f>tblIndicators!D29</f>
        <v>1</v>
      </c>
      <c r="D42" t="b">
        <f t="shared" si="3"/>
        <v>0</v>
      </c>
      <c r="E42">
        <f t="shared" si="0"/>
        <v>86.16</v>
      </c>
      <c r="F42">
        <f ca="1">MATCH(E42,QUARTILE(OFFSET(aRoundedScores,$B42-1,0,1,$B$2),{0,1,2,3}))</f>
        <v>4</v>
      </c>
      <c r="G42" s="155">
        <f ca="1" t="shared" si="4"/>
        <v>1</v>
      </c>
      <c r="H42">
        <f t="shared" si="5"/>
        <v>1</v>
      </c>
      <c r="I42" s="155" t="str">
        <f ca="1" t="shared" si="6"/>
        <v>x</v>
      </c>
      <c r="K42" t="e">
        <f ca="1" t="shared" si="7"/>
        <v>#N/A</v>
      </c>
      <c r="L42" t="e">
        <f ca="1" t="shared" si="8"/>
        <v>#N/A</v>
      </c>
      <c r="M42" t="e">
        <f ca="1" t="shared" si="9"/>
        <v>#N/A</v>
      </c>
      <c r="O42">
        <f ca="1" t="shared" si="10"/>
        <v>0</v>
      </c>
      <c r="P42">
        <f ca="1" t="shared" si="11"/>
        <v>0</v>
      </c>
      <c r="Q42">
        <f ca="1" t="shared" si="12"/>
        <v>0</v>
      </c>
    </row>
    <row r="43" spans="2:17">
      <c r="B43">
        <f>tblIndicators!A30</f>
        <v>29</v>
      </c>
      <c r="C43">
        <f>tblIndicators!D30</f>
        <v>2</v>
      </c>
      <c r="D43" t="b">
        <f t="shared" si="3"/>
        <v>1</v>
      </c>
      <c r="E43">
        <f t="shared" si="0"/>
        <v>86.5</v>
      </c>
      <c r="F43">
        <f ca="1">MATCH(E43,QUARTILE(OFFSET(aRoundedScores,$B43-1,0,1,$B$2),{0,1,2,3}))</f>
        <v>3</v>
      </c>
      <c r="G43" s="155">
        <f ca="1" t="shared" si="4"/>
        <v>2</v>
      </c>
      <c r="H43">
        <f t="shared" si="5"/>
        <v>1</v>
      </c>
      <c r="I43" s="155">
        <f ca="1" t="shared" si="6"/>
        <v>1</v>
      </c>
      <c r="K43" t="e">
        <f ca="1" t="shared" si="7"/>
        <v>#N/A</v>
      </c>
      <c r="L43" t="e">
        <f ca="1" t="shared" si="8"/>
        <v>#N/A</v>
      </c>
      <c r="M43" t="e">
        <f ca="1" t="shared" si="9"/>
        <v>#N/A</v>
      </c>
      <c r="O43">
        <f ca="1" t="shared" si="10"/>
        <v>0</v>
      </c>
      <c r="P43">
        <f ca="1" t="shared" si="11"/>
        <v>0</v>
      </c>
      <c r="Q43">
        <f ca="1" t="shared" si="12"/>
        <v>0</v>
      </c>
    </row>
    <row r="44" spans="2:17">
      <c r="B44">
        <f>tblIndicators!A31</f>
        <v>30</v>
      </c>
      <c r="C44">
        <f>tblIndicators!D31</f>
        <v>3</v>
      </c>
      <c r="D44" t="b">
        <f t="shared" si="3"/>
        <v>0</v>
      </c>
      <c r="E44">
        <f t="shared" si="0"/>
        <v>82.5</v>
      </c>
      <c r="F44">
        <f ca="1">MATCH(E44,QUARTILE(OFFSET(aRoundedScores,$B44-1,0,1,$B$2),{0,1,2,3}))</f>
        <v>4</v>
      </c>
      <c r="G44" s="155">
        <f ca="1" t="shared" si="4"/>
        <v>1</v>
      </c>
      <c r="H44">
        <f t="shared" si="5"/>
        <v>1</v>
      </c>
      <c r="I44" s="155" t="str">
        <f ca="1" t="shared" si="6"/>
        <v>x</v>
      </c>
      <c r="K44" t="e">
        <f ca="1" t="shared" si="7"/>
        <v>#N/A</v>
      </c>
      <c r="L44" t="e">
        <f ca="1" t="shared" si="8"/>
        <v>#N/A</v>
      </c>
      <c r="M44" t="e">
        <f ca="1" t="shared" si="9"/>
        <v>#N/A</v>
      </c>
      <c r="O44">
        <f ca="1" t="shared" si="10"/>
        <v>0</v>
      </c>
      <c r="P44">
        <f ca="1" t="shared" si="11"/>
        <v>0</v>
      </c>
      <c r="Q44">
        <f ca="1" t="shared" si="12"/>
        <v>0</v>
      </c>
    </row>
    <row r="45" spans="2:17">
      <c r="B45">
        <f>tblIndicators!A32</f>
        <v>31</v>
      </c>
      <c r="C45">
        <f>tblIndicators!D32</f>
        <v>3</v>
      </c>
      <c r="D45" t="b">
        <f t="shared" si="3"/>
        <v>0</v>
      </c>
      <c r="E45">
        <f t="shared" si="0"/>
        <v>100</v>
      </c>
      <c r="F45">
        <f ca="1">MATCH(E45,QUARTILE(OFFSET(aRoundedScores,$B45-1,0,1,$B$2),{0,1,2,3}))</f>
        <v>4</v>
      </c>
      <c r="G45" s="155">
        <f ca="1" t="shared" si="4"/>
        <v>1</v>
      </c>
      <c r="H45">
        <f t="shared" si="5"/>
        <v>1</v>
      </c>
      <c r="I45" s="155" t="str">
        <f ca="1" t="shared" si="6"/>
        <v>x</v>
      </c>
      <c r="K45" t="e">
        <f ca="1" t="shared" si="7"/>
        <v>#N/A</v>
      </c>
      <c r="L45" t="e">
        <f ca="1" t="shared" si="8"/>
        <v>#N/A</v>
      </c>
      <c r="M45" t="e">
        <f ca="1" t="shared" si="9"/>
        <v>#N/A</v>
      </c>
      <c r="O45">
        <f ca="1" t="shared" si="10"/>
        <v>0</v>
      </c>
      <c r="P45">
        <f ca="1" t="shared" si="11"/>
        <v>0</v>
      </c>
      <c r="Q45">
        <f ca="1" t="shared" si="12"/>
        <v>0</v>
      </c>
    </row>
    <row r="46" spans="2:17">
      <c r="B46">
        <f>tblIndicators!A33</f>
        <v>32</v>
      </c>
      <c r="C46">
        <f>tblIndicators!D33</f>
        <v>3</v>
      </c>
      <c r="D46" t="b">
        <f t="shared" ref="D46:D71" si="13">IF(C46=2,TRUE,FALSE)</f>
        <v>0</v>
      </c>
      <c r="E46">
        <f t="shared" si="0"/>
        <v>100</v>
      </c>
      <c r="F46">
        <f ca="1">MATCH(E46,QUARTILE(OFFSET(aRoundedScores,$B46-1,0,1,$B$2),{0,1,2,3}))</f>
        <v>4</v>
      </c>
      <c r="G46" s="155">
        <f ca="1" t="shared" ref="G46:G71" si="14">IF(F46=1,3,IF(F46=4,1,2))</f>
        <v>1</v>
      </c>
      <c r="H46">
        <f t="shared" ref="H46:H71" si="15">IF(E46&gt;=$K$12,1,IF(E46&gt;=$L$12,2,3))</f>
        <v>1</v>
      </c>
      <c r="I46" s="155" t="str">
        <f ca="1" t="shared" ref="I46:I71" si="16">IF(D46=FALSE,"x",IF($B$3=2,G46,H46))</f>
        <v>x</v>
      </c>
      <c r="K46" t="e">
        <f ca="1" t="shared" si="7"/>
        <v>#N/A</v>
      </c>
      <c r="L46" t="e">
        <f ca="1" t="shared" si="8"/>
        <v>#N/A</v>
      </c>
      <c r="M46" t="e">
        <f ca="1" t="shared" si="9"/>
        <v>#N/A</v>
      </c>
      <c r="O46">
        <f ca="1" t="shared" ref="O46:O71" si="17">IF(ISNUMBER(K46),K46,0)</f>
        <v>0</v>
      </c>
      <c r="P46">
        <f ca="1" t="shared" ref="P46:P71" si="18">IF(ISNUMBER(L46),L46,0)</f>
        <v>0</v>
      </c>
      <c r="Q46">
        <f ca="1" t="shared" ref="Q46:Q71" si="19">IF(ISNUMBER(M46),M46,0)</f>
        <v>0</v>
      </c>
    </row>
    <row r="47" spans="2:17">
      <c r="B47">
        <f>tblIndicators!A34</f>
        <v>33</v>
      </c>
      <c r="C47">
        <f>tblIndicators!D34</f>
        <v>3</v>
      </c>
      <c r="D47" t="b">
        <f t="shared" si="13"/>
        <v>0</v>
      </c>
      <c r="E47">
        <f t="shared" si="0"/>
        <v>75</v>
      </c>
      <c r="F47">
        <f ca="1">MATCH(E47,QUARTILE(OFFSET(aRoundedScores,$B47-1,0,1,$B$2),{0,1,2,3}))</f>
        <v>2</v>
      </c>
      <c r="G47" s="155">
        <f ca="1" t="shared" si="14"/>
        <v>2</v>
      </c>
      <c r="H47">
        <f t="shared" si="15"/>
        <v>1</v>
      </c>
      <c r="I47" s="155" t="str">
        <f ca="1" t="shared" si="16"/>
        <v>x</v>
      </c>
      <c r="K47" t="e">
        <f ca="1" t="shared" si="7"/>
        <v>#N/A</v>
      </c>
      <c r="L47" t="e">
        <f ca="1" t="shared" si="8"/>
        <v>#N/A</v>
      </c>
      <c r="M47" t="e">
        <f ca="1" t="shared" si="9"/>
        <v>#N/A</v>
      </c>
      <c r="O47">
        <f ca="1" t="shared" si="17"/>
        <v>0</v>
      </c>
      <c r="P47">
        <f ca="1" t="shared" si="18"/>
        <v>0</v>
      </c>
      <c r="Q47">
        <f ca="1" t="shared" si="19"/>
        <v>0</v>
      </c>
    </row>
    <row r="48" spans="2:17">
      <c r="B48">
        <f>tblIndicators!A35</f>
        <v>34</v>
      </c>
      <c r="C48">
        <f>tblIndicators!D35</f>
        <v>3</v>
      </c>
      <c r="D48" t="b">
        <f t="shared" si="13"/>
        <v>0</v>
      </c>
      <c r="E48">
        <f t="shared" si="0"/>
        <v>75</v>
      </c>
      <c r="F48">
        <f ca="1">MATCH(E48,QUARTILE(OFFSET(aRoundedScores,$B48-1,0,1,$B$2),{0,1,2,3}))</f>
        <v>2</v>
      </c>
      <c r="G48" s="155">
        <f ca="1" t="shared" si="14"/>
        <v>2</v>
      </c>
      <c r="H48">
        <f t="shared" si="15"/>
        <v>1</v>
      </c>
      <c r="I48" s="155" t="str">
        <f ca="1" t="shared" si="16"/>
        <v>x</v>
      </c>
      <c r="K48" t="e">
        <f ca="1" t="shared" si="7"/>
        <v>#N/A</v>
      </c>
      <c r="L48" t="e">
        <f ca="1" t="shared" si="8"/>
        <v>#N/A</v>
      </c>
      <c r="M48" t="e">
        <f ca="1" t="shared" si="9"/>
        <v>#N/A</v>
      </c>
      <c r="O48">
        <f ca="1" t="shared" si="17"/>
        <v>0</v>
      </c>
      <c r="P48">
        <f ca="1" t="shared" si="18"/>
        <v>0</v>
      </c>
      <c r="Q48">
        <f ca="1" t="shared" si="19"/>
        <v>0</v>
      </c>
    </row>
    <row r="49" spans="2:17">
      <c r="B49">
        <f>tblIndicators!A36</f>
        <v>35</v>
      </c>
      <c r="C49">
        <f>tblIndicators!D36</f>
        <v>2</v>
      </c>
      <c r="D49" t="b">
        <f t="shared" si="13"/>
        <v>1</v>
      </c>
      <c r="E49">
        <f t="shared" si="0"/>
        <v>85.81</v>
      </c>
      <c r="F49">
        <f ca="1">MATCH(E49,QUARTILE(OFFSET(aRoundedScores,$B49-1,0,1,$B$2),{0,1,2,3}))</f>
        <v>4</v>
      </c>
      <c r="G49" s="155">
        <f ca="1" t="shared" si="14"/>
        <v>1</v>
      </c>
      <c r="H49">
        <f t="shared" si="15"/>
        <v>1</v>
      </c>
      <c r="I49" s="155">
        <f ca="1" t="shared" si="16"/>
        <v>1</v>
      </c>
      <c r="K49" t="e">
        <f ca="1" t="shared" si="7"/>
        <v>#N/A</v>
      </c>
      <c r="L49" t="e">
        <f ca="1" t="shared" si="8"/>
        <v>#N/A</v>
      </c>
      <c r="M49" t="e">
        <f ca="1" t="shared" si="9"/>
        <v>#N/A</v>
      </c>
      <c r="O49">
        <f ca="1" t="shared" si="17"/>
        <v>0</v>
      </c>
      <c r="P49">
        <f ca="1" t="shared" si="18"/>
        <v>0</v>
      </c>
      <c r="Q49">
        <f ca="1" t="shared" si="19"/>
        <v>0</v>
      </c>
    </row>
    <row r="50" spans="2:17">
      <c r="B50">
        <f>tblIndicators!A37</f>
        <v>36</v>
      </c>
      <c r="C50">
        <f>tblIndicators!D37</f>
        <v>3</v>
      </c>
      <c r="D50" t="b">
        <f t="shared" si="13"/>
        <v>0</v>
      </c>
      <c r="E50">
        <f t="shared" si="0"/>
        <v>100</v>
      </c>
      <c r="F50">
        <f ca="1">MATCH(E50,QUARTILE(OFFSET(aRoundedScores,$B50-1,0,1,$B$2),{0,1,2,3}))</f>
        <v>4</v>
      </c>
      <c r="G50" s="155">
        <f ca="1" t="shared" si="14"/>
        <v>1</v>
      </c>
      <c r="H50">
        <f t="shared" si="15"/>
        <v>1</v>
      </c>
      <c r="I50" s="155" t="str">
        <f ca="1" t="shared" si="16"/>
        <v>x</v>
      </c>
      <c r="K50" t="e">
        <f ca="1" t="shared" si="7"/>
        <v>#N/A</v>
      </c>
      <c r="L50" t="e">
        <f ca="1" t="shared" si="8"/>
        <v>#N/A</v>
      </c>
      <c r="M50" t="e">
        <f ca="1" t="shared" si="9"/>
        <v>#N/A</v>
      </c>
      <c r="O50">
        <f ca="1" t="shared" si="17"/>
        <v>0</v>
      </c>
      <c r="P50">
        <f ca="1" t="shared" si="18"/>
        <v>0</v>
      </c>
      <c r="Q50">
        <f ca="1" t="shared" si="19"/>
        <v>0</v>
      </c>
    </row>
    <row r="51" spans="2:17">
      <c r="B51">
        <f>tblIndicators!A38</f>
        <v>37</v>
      </c>
      <c r="C51">
        <f>tblIndicators!D38</f>
        <v>3</v>
      </c>
      <c r="D51" t="b">
        <f t="shared" si="13"/>
        <v>0</v>
      </c>
      <c r="E51">
        <f t="shared" si="0"/>
        <v>97.75</v>
      </c>
      <c r="F51">
        <f ca="1">MATCH(E51,QUARTILE(OFFSET(aRoundedScores,$B51-1,0,1,$B$2),{0,1,2,3}))</f>
        <v>4</v>
      </c>
      <c r="G51" s="155">
        <f ca="1" t="shared" si="14"/>
        <v>1</v>
      </c>
      <c r="H51">
        <f t="shared" si="15"/>
        <v>1</v>
      </c>
      <c r="I51" s="155" t="str">
        <f ca="1" t="shared" si="16"/>
        <v>x</v>
      </c>
      <c r="K51" t="e">
        <f ca="1" t="shared" si="7"/>
        <v>#N/A</v>
      </c>
      <c r="L51" t="e">
        <f ca="1" t="shared" si="8"/>
        <v>#N/A</v>
      </c>
      <c r="M51" t="e">
        <f ca="1" t="shared" si="9"/>
        <v>#N/A</v>
      </c>
      <c r="O51">
        <f ca="1" t="shared" si="17"/>
        <v>0</v>
      </c>
      <c r="P51">
        <f ca="1" t="shared" si="18"/>
        <v>0</v>
      </c>
      <c r="Q51">
        <f ca="1" t="shared" si="19"/>
        <v>0</v>
      </c>
    </row>
    <row r="52" spans="2:17">
      <c r="B52">
        <f>tblIndicators!A39</f>
        <v>38</v>
      </c>
      <c r="C52">
        <f>tblIndicators!D39</f>
        <v>3</v>
      </c>
      <c r="D52" t="b">
        <f t="shared" si="13"/>
        <v>0</v>
      </c>
      <c r="E52">
        <f t="shared" si="0"/>
        <v>96.83</v>
      </c>
      <c r="F52">
        <f ca="1">MATCH(E52,QUARTILE(OFFSET(aRoundedScores,$B52-1,0,1,$B$2),{0,1,2,3}))</f>
        <v>2</v>
      </c>
      <c r="G52" s="155">
        <f ca="1" t="shared" si="14"/>
        <v>2</v>
      </c>
      <c r="H52">
        <f t="shared" si="15"/>
        <v>1</v>
      </c>
      <c r="I52" s="155" t="str">
        <f ca="1" t="shared" si="16"/>
        <v>x</v>
      </c>
      <c r="K52" t="e">
        <f ca="1" t="shared" si="7"/>
        <v>#N/A</v>
      </c>
      <c r="L52" t="e">
        <f ca="1" t="shared" si="8"/>
        <v>#N/A</v>
      </c>
      <c r="M52" t="e">
        <f ca="1" t="shared" si="9"/>
        <v>#N/A</v>
      </c>
      <c r="O52">
        <f ca="1" t="shared" si="17"/>
        <v>0</v>
      </c>
      <c r="P52">
        <f ca="1" t="shared" si="18"/>
        <v>0</v>
      </c>
      <c r="Q52">
        <f ca="1" t="shared" si="19"/>
        <v>0</v>
      </c>
    </row>
    <row r="53" spans="2:17">
      <c r="B53">
        <f>tblIndicators!A40</f>
        <v>39</v>
      </c>
      <c r="C53">
        <f>tblIndicators!D40</f>
        <v>3</v>
      </c>
      <c r="D53" t="b">
        <f t="shared" si="13"/>
        <v>0</v>
      </c>
      <c r="E53">
        <f t="shared" si="0"/>
        <v>48.68</v>
      </c>
      <c r="F53">
        <f ca="1">MATCH(E53,QUARTILE(OFFSET(aRoundedScores,$B53-1,0,1,$B$2),{0,1,2,3}))</f>
        <v>3</v>
      </c>
      <c r="G53" s="155">
        <f ca="1" t="shared" si="14"/>
        <v>2</v>
      </c>
      <c r="H53">
        <f t="shared" si="15"/>
        <v>2</v>
      </c>
      <c r="I53" s="155" t="str">
        <f ca="1" t="shared" si="16"/>
        <v>x</v>
      </c>
      <c r="K53" t="e">
        <f ca="1" t="shared" si="7"/>
        <v>#N/A</v>
      </c>
      <c r="L53" t="e">
        <f ca="1" t="shared" si="8"/>
        <v>#N/A</v>
      </c>
      <c r="M53" t="e">
        <f ca="1" t="shared" si="9"/>
        <v>#N/A</v>
      </c>
      <c r="O53">
        <f ca="1" t="shared" si="17"/>
        <v>0</v>
      </c>
      <c r="P53">
        <f ca="1" t="shared" si="18"/>
        <v>0</v>
      </c>
      <c r="Q53">
        <f ca="1" t="shared" si="19"/>
        <v>0</v>
      </c>
    </row>
    <row r="54" spans="2:17">
      <c r="B54">
        <f>tblIndicators!A41</f>
        <v>40</v>
      </c>
      <c r="C54">
        <f>tblIndicators!D41</f>
        <v>1</v>
      </c>
      <c r="D54" t="b">
        <f t="shared" si="13"/>
        <v>0</v>
      </c>
      <c r="E54">
        <f t="shared" si="0"/>
        <v>67.39</v>
      </c>
      <c r="F54">
        <f ca="1">MATCH(E54,QUARTILE(OFFSET(aRoundedScores,$B54-1,0,1,$B$2),{0,1,2,3}))</f>
        <v>2</v>
      </c>
      <c r="G54" s="155">
        <f ca="1" t="shared" si="14"/>
        <v>2</v>
      </c>
      <c r="H54">
        <f t="shared" si="15"/>
        <v>2</v>
      </c>
      <c r="I54" s="155" t="str">
        <f ca="1" t="shared" si="16"/>
        <v>x</v>
      </c>
      <c r="K54" t="e">
        <f ca="1" t="shared" si="7"/>
        <v>#N/A</v>
      </c>
      <c r="L54" t="e">
        <f ca="1" t="shared" si="8"/>
        <v>#N/A</v>
      </c>
      <c r="M54" t="e">
        <f ca="1" t="shared" si="9"/>
        <v>#N/A</v>
      </c>
      <c r="O54">
        <f ca="1" t="shared" si="17"/>
        <v>0</v>
      </c>
      <c r="P54">
        <f ca="1" t="shared" si="18"/>
        <v>0</v>
      </c>
      <c r="Q54">
        <f ca="1" t="shared" si="19"/>
        <v>0</v>
      </c>
    </row>
    <row r="55" spans="2:17">
      <c r="B55">
        <f>tblIndicators!A42</f>
        <v>41</v>
      </c>
      <c r="C55">
        <f>tblIndicators!D42</f>
        <v>2</v>
      </c>
      <c r="D55" t="b">
        <f t="shared" si="13"/>
        <v>1</v>
      </c>
      <c r="E55">
        <f t="shared" si="0"/>
        <v>50</v>
      </c>
      <c r="F55">
        <f ca="1">MATCH(E55,QUARTILE(OFFSET(aRoundedScores,$B55-1,0,1,$B$2),{0,1,2,3}))</f>
        <v>1</v>
      </c>
      <c r="G55" s="155">
        <f ca="1" t="shared" si="14"/>
        <v>3</v>
      </c>
      <c r="H55">
        <f t="shared" si="15"/>
        <v>2</v>
      </c>
      <c r="I55" s="155">
        <f ca="1" t="shared" si="16"/>
        <v>2</v>
      </c>
      <c r="K55" t="e">
        <f ca="1" t="shared" si="7"/>
        <v>#N/A</v>
      </c>
      <c r="L55" t="e">
        <f ca="1" t="shared" si="8"/>
        <v>#N/A</v>
      </c>
      <c r="M55" t="e">
        <f ca="1" t="shared" si="9"/>
        <v>#N/A</v>
      </c>
      <c r="O55">
        <f ca="1" t="shared" si="17"/>
        <v>0</v>
      </c>
      <c r="P55">
        <f ca="1" t="shared" si="18"/>
        <v>0</v>
      </c>
      <c r="Q55">
        <f ca="1" t="shared" si="19"/>
        <v>0</v>
      </c>
    </row>
    <row r="56" spans="2:17">
      <c r="B56">
        <f>tblIndicators!A43</f>
        <v>42</v>
      </c>
      <c r="C56">
        <f>tblIndicators!D43</f>
        <v>3</v>
      </c>
      <c r="D56" t="b">
        <f t="shared" si="13"/>
        <v>0</v>
      </c>
      <c r="E56">
        <f t="shared" si="0"/>
        <v>50</v>
      </c>
      <c r="F56">
        <f ca="1">MATCH(E56,QUARTILE(OFFSET(aRoundedScores,$B56-1,0,1,$B$2),{0,1,2,3}))</f>
        <v>2</v>
      </c>
      <c r="G56" s="155">
        <f ca="1" t="shared" si="14"/>
        <v>2</v>
      </c>
      <c r="H56">
        <f t="shared" si="15"/>
        <v>2</v>
      </c>
      <c r="I56" s="155" t="str">
        <f ca="1" t="shared" si="16"/>
        <v>x</v>
      </c>
      <c r="K56" t="e">
        <f ca="1" t="shared" si="7"/>
        <v>#N/A</v>
      </c>
      <c r="L56" t="e">
        <f ca="1" t="shared" si="8"/>
        <v>#N/A</v>
      </c>
      <c r="M56" t="e">
        <f ca="1" t="shared" si="9"/>
        <v>#N/A</v>
      </c>
      <c r="O56">
        <f ca="1" t="shared" si="17"/>
        <v>0</v>
      </c>
      <c r="P56">
        <f ca="1" t="shared" si="18"/>
        <v>0</v>
      </c>
      <c r="Q56">
        <f ca="1" t="shared" si="19"/>
        <v>0</v>
      </c>
    </row>
    <row r="57" spans="2:17">
      <c r="B57">
        <f>tblIndicators!A44</f>
        <v>43</v>
      </c>
      <c r="C57">
        <f>tblIndicators!D44</f>
        <v>3</v>
      </c>
      <c r="D57" t="b">
        <f t="shared" si="13"/>
        <v>0</v>
      </c>
      <c r="E57">
        <f t="shared" si="0"/>
        <v>100</v>
      </c>
      <c r="F57">
        <f ca="1">MATCH(E57,QUARTILE(OFFSET(aRoundedScores,$B57-1,0,1,$B$2),{0,1,2,3}))</f>
        <v>4</v>
      </c>
      <c r="G57" s="155">
        <f ca="1" t="shared" si="14"/>
        <v>1</v>
      </c>
      <c r="H57">
        <f t="shared" si="15"/>
        <v>1</v>
      </c>
      <c r="I57" s="155" t="str">
        <f ca="1" t="shared" si="16"/>
        <v>x</v>
      </c>
      <c r="K57" t="e">
        <f ca="1" t="shared" si="7"/>
        <v>#N/A</v>
      </c>
      <c r="L57" t="e">
        <f ca="1" t="shared" si="8"/>
        <v>#N/A</v>
      </c>
      <c r="M57" t="e">
        <f ca="1" t="shared" si="9"/>
        <v>#N/A</v>
      </c>
      <c r="O57">
        <f ca="1" t="shared" si="17"/>
        <v>0</v>
      </c>
      <c r="P57">
        <f ca="1" t="shared" si="18"/>
        <v>0</v>
      </c>
      <c r="Q57">
        <f ca="1" t="shared" si="19"/>
        <v>0</v>
      </c>
    </row>
    <row r="58" spans="2:17">
      <c r="B58">
        <f>tblIndicators!A45</f>
        <v>44</v>
      </c>
      <c r="C58">
        <f>tblIndicators!D45</f>
        <v>3</v>
      </c>
      <c r="D58" t="b">
        <f t="shared" si="13"/>
        <v>0</v>
      </c>
      <c r="E58">
        <f t="shared" si="0"/>
        <v>100</v>
      </c>
      <c r="F58">
        <f ca="1">MATCH(E58,QUARTILE(OFFSET(aRoundedScores,$B58-1,0,1,$B$2),{0,1,2,3}))</f>
        <v>4</v>
      </c>
      <c r="G58" s="155">
        <f ca="1" t="shared" si="14"/>
        <v>1</v>
      </c>
      <c r="H58">
        <f t="shared" si="15"/>
        <v>1</v>
      </c>
      <c r="I58" s="155" t="str">
        <f ca="1" t="shared" si="16"/>
        <v>x</v>
      </c>
      <c r="K58" t="e">
        <f ca="1" t="shared" si="7"/>
        <v>#N/A</v>
      </c>
      <c r="L58" t="e">
        <f ca="1" t="shared" si="8"/>
        <v>#N/A</v>
      </c>
      <c r="M58" t="e">
        <f ca="1" t="shared" si="9"/>
        <v>#N/A</v>
      </c>
      <c r="O58">
        <f ca="1" t="shared" si="17"/>
        <v>0</v>
      </c>
      <c r="P58">
        <f ca="1" t="shared" si="18"/>
        <v>0</v>
      </c>
      <c r="Q58">
        <f ca="1" t="shared" si="19"/>
        <v>0</v>
      </c>
    </row>
    <row r="59" spans="2:17">
      <c r="B59">
        <f>tblIndicators!A46</f>
        <v>45</v>
      </c>
      <c r="C59">
        <f>tblIndicators!D46</f>
        <v>3</v>
      </c>
      <c r="D59" t="b">
        <f t="shared" si="13"/>
        <v>0</v>
      </c>
      <c r="E59">
        <f t="shared" si="0"/>
        <v>0</v>
      </c>
      <c r="F59">
        <f ca="1">MATCH(E59,QUARTILE(OFFSET(aRoundedScores,$B59-1,0,1,$B$2),{0,1,2,3}))</f>
        <v>2</v>
      </c>
      <c r="G59" s="155">
        <f ca="1" t="shared" si="14"/>
        <v>2</v>
      </c>
      <c r="H59">
        <f t="shared" si="15"/>
        <v>3</v>
      </c>
      <c r="I59" s="155" t="str">
        <f ca="1" t="shared" si="16"/>
        <v>x</v>
      </c>
      <c r="K59" t="e">
        <f ca="1" t="shared" si="7"/>
        <v>#N/A</v>
      </c>
      <c r="L59" t="e">
        <f ca="1" t="shared" si="8"/>
        <v>#N/A</v>
      </c>
      <c r="M59" t="e">
        <f ca="1" t="shared" si="9"/>
        <v>#N/A</v>
      </c>
      <c r="O59">
        <f ca="1" t="shared" si="17"/>
        <v>0</v>
      </c>
      <c r="P59">
        <f ca="1" t="shared" si="18"/>
        <v>0</v>
      </c>
      <c r="Q59">
        <f ca="1" t="shared" si="19"/>
        <v>0</v>
      </c>
    </row>
    <row r="60" spans="2:17">
      <c r="B60">
        <f>tblIndicators!A47</f>
        <v>46</v>
      </c>
      <c r="C60">
        <f>tblIndicators!D47</f>
        <v>3</v>
      </c>
      <c r="D60" t="b">
        <f t="shared" si="13"/>
        <v>0</v>
      </c>
      <c r="E60">
        <f t="shared" si="0"/>
        <v>0</v>
      </c>
      <c r="F60">
        <f ca="1">MATCH(E60,QUARTILE(OFFSET(aRoundedScores,$B60-1,0,1,$B$2),{0,1,2,3}))</f>
        <v>2</v>
      </c>
      <c r="G60" s="155">
        <f ca="1" t="shared" si="14"/>
        <v>2</v>
      </c>
      <c r="H60">
        <f t="shared" si="15"/>
        <v>3</v>
      </c>
      <c r="I60" s="155" t="str">
        <f ca="1" t="shared" si="16"/>
        <v>x</v>
      </c>
      <c r="K60" t="e">
        <f ca="1" t="shared" si="7"/>
        <v>#N/A</v>
      </c>
      <c r="L60" t="e">
        <f ca="1" t="shared" si="8"/>
        <v>#N/A</v>
      </c>
      <c r="M60" t="e">
        <f ca="1" t="shared" si="9"/>
        <v>#N/A</v>
      </c>
      <c r="O60">
        <f ca="1" t="shared" si="17"/>
        <v>0</v>
      </c>
      <c r="P60">
        <f ca="1" t="shared" si="18"/>
        <v>0</v>
      </c>
      <c r="Q60">
        <f ca="1" t="shared" si="19"/>
        <v>0</v>
      </c>
    </row>
    <row r="61" spans="2:17">
      <c r="B61">
        <f>tblIndicators!A48</f>
        <v>47</v>
      </c>
      <c r="C61">
        <f>tblIndicators!D48</f>
        <v>3</v>
      </c>
      <c r="D61" t="b">
        <f t="shared" si="13"/>
        <v>0</v>
      </c>
      <c r="E61">
        <f t="shared" si="0"/>
        <v>45</v>
      </c>
      <c r="F61">
        <f ca="1">MATCH(E61,QUARTILE(OFFSET(aRoundedScores,$B61-1,0,1,$B$2),{0,1,2,3}))</f>
        <v>2</v>
      </c>
      <c r="G61" s="155">
        <f ca="1" t="shared" si="14"/>
        <v>2</v>
      </c>
      <c r="H61">
        <f t="shared" si="15"/>
        <v>2</v>
      </c>
      <c r="I61" s="155" t="str">
        <f ca="1" t="shared" si="16"/>
        <v>x</v>
      </c>
      <c r="K61" t="e">
        <f ca="1" t="shared" si="7"/>
        <v>#N/A</v>
      </c>
      <c r="L61" t="e">
        <f ca="1" t="shared" si="8"/>
        <v>#N/A</v>
      </c>
      <c r="M61" t="e">
        <f ca="1" t="shared" si="9"/>
        <v>#N/A</v>
      </c>
      <c r="O61">
        <f ca="1" t="shared" si="17"/>
        <v>0</v>
      </c>
      <c r="P61">
        <f ca="1" t="shared" si="18"/>
        <v>0</v>
      </c>
      <c r="Q61">
        <f ca="1" t="shared" si="19"/>
        <v>0</v>
      </c>
    </row>
    <row r="62" spans="2:17">
      <c r="B62">
        <f>tblIndicators!A49</f>
        <v>48</v>
      </c>
      <c r="C62">
        <f>tblIndicators!D49</f>
        <v>3</v>
      </c>
      <c r="D62" t="b">
        <f t="shared" si="13"/>
        <v>0</v>
      </c>
      <c r="E62">
        <f t="shared" si="0"/>
        <v>55</v>
      </c>
      <c r="F62">
        <f ca="1">MATCH(E62,QUARTILE(OFFSET(aRoundedScores,$B62-1,0,1,$B$2),{0,1,2,3}))</f>
        <v>2</v>
      </c>
      <c r="G62" s="155">
        <f ca="1" t="shared" si="14"/>
        <v>2</v>
      </c>
      <c r="H62">
        <f t="shared" si="15"/>
        <v>2</v>
      </c>
      <c r="I62" s="155" t="str">
        <f ca="1" t="shared" si="16"/>
        <v>x</v>
      </c>
      <c r="K62" t="e">
        <f ca="1" t="shared" si="7"/>
        <v>#N/A</v>
      </c>
      <c r="L62" t="e">
        <f ca="1" t="shared" si="8"/>
        <v>#N/A</v>
      </c>
      <c r="M62" t="e">
        <f ca="1" t="shared" si="9"/>
        <v>#N/A</v>
      </c>
      <c r="O62">
        <f ca="1" t="shared" si="17"/>
        <v>0</v>
      </c>
      <c r="P62">
        <f ca="1" t="shared" si="18"/>
        <v>0</v>
      </c>
      <c r="Q62">
        <f ca="1" t="shared" si="19"/>
        <v>0</v>
      </c>
    </row>
    <row r="63" spans="2:17">
      <c r="B63">
        <f>tblIndicators!A50</f>
        <v>49</v>
      </c>
      <c r="C63">
        <f>tblIndicators!D50</f>
        <v>2</v>
      </c>
      <c r="D63" t="b">
        <f t="shared" si="13"/>
        <v>1</v>
      </c>
      <c r="E63">
        <f t="shared" si="0"/>
        <v>84.77</v>
      </c>
      <c r="F63">
        <f ca="1">MATCH(E63,QUARTILE(OFFSET(aRoundedScores,$B63-1,0,1,$B$2),{0,1,2,3}))</f>
        <v>4</v>
      </c>
      <c r="G63" s="155">
        <f ca="1" t="shared" si="14"/>
        <v>1</v>
      </c>
      <c r="H63">
        <f t="shared" si="15"/>
        <v>1</v>
      </c>
      <c r="I63" s="155">
        <f ca="1" t="shared" si="16"/>
        <v>1</v>
      </c>
      <c r="K63" t="e">
        <f ca="1" t="shared" si="7"/>
        <v>#N/A</v>
      </c>
      <c r="L63" t="e">
        <f ca="1" t="shared" si="8"/>
        <v>#N/A</v>
      </c>
      <c r="M63" t="e">
        <f ca="1" t="shared" si="9"/>
        <v>#N/A</v>
      </c>
      <c r="O63">
        <f ca="1" t="shared" si="17"/>
        <v>0</v>
      </c>
      <c r="P63">
        <f ca="1" t="shared" si="18"/>
        <v>0</v>
      </c>
      <c r="Q63">
        <f ca="1" t="shared" si="19"/>
        <v>0</v>
      </c>
    </row>
    <row r="64" spans="2:17">
      <c r="B64">
        <f>tblIndicators!A51</f>
        <v>50</v>
      </c>
      <c r="C64">
        <f>tblIndicators!D51</f>
        <v>3</v>
      </c>
      <c r="D64" t="b">
        <f t="shared" si="13"/>
        <v>0</v>
      </c>
      <c r="E64">
        <f t="shared" si="0"/>
        <v>75</v>
      </c>
      <c r="F64">
        <f ca="1">MATCH(E64,QUARTILE(OFFSET(aRoundedScores,$B64-1,0,1,$B$2),{0,1,2,3}))</f>
        <v>4</v>
      </c>
      <c r="G64" s="155">
        <f ca="1" t="shared" si="14"/>
        <v>1</v>
      </c>
      <c r="H64">
        <f t="shared" si="15"/>
        <v>1</v>
      </c>
      <c r="I64" s="155" t="str">
        <f ca="1" t="shared" si="16"/>
        <v>x</v>
      </c>
      <c r="K64" t="e">
        <f ca="1" t="shared" si="7"/>
        <v>#N/A</v>
      </c>
      <c r="L64" t="e">
        <f ca="1" t="shared" si="8"/>
        <v>#N/A</v>
      </c>
      <c r="M64" t="e">
        <f ca="1" t="shared" si="9"/>
        <v>#N/A</v>
      </c>
      <c r="O64">
        <f ca="1" t="shared" si="17"/>
        <v>0</v>
      </c>
      <c r="P64">
        <f ca="1" t="shared" si="18"/>
        <v>0</v>
      </c>
      <c r="Q64">
        <f ca="1" t="shared" si="19"/>
        <v>0</v>
      </c>
    </row>
    <row r="65" spans="2:17">
      <c r="B65">
        <f>tblIndicators!A52</f>
        <v>51</v>
      </c>
      <c r="C65">
        <f>tblIndicators!D52</f>
        <v>3</v>
      </c>
      <c r="D65" t="b">
        <f t="shared" si="13"/>
        <v>0</v>
      </c>
      <c r="E65">
        <f t="shared" si="0"/>
        <v>100</v>
      </c>
      <c r="F65">
        <f ca="1">MATCH(E65,QUARTILE(OFFSET(aRoundedScores,$B65-1,0,1,$B$2),{0,1,2,3}))</f>
        <v>4</v>
      </c>
      <c r="G65" s="155">
        <f ca="1" t="shared" si="14"/>
        <v>1</v>
      </c>
      <c r="H65">
        <f t="shared" si="15"/>
        <v>1</v>
      </c>
      <c r="I65" s="155" t="str">
        <f ca="1" t="shared" si="16"/>
        <v>x</v>
      </c>
      <c r="K65" t="e">
        <f ca="1" t="shared" si="7"/>
        <v>#N/A</v>
      </c>
      <c r="L65" t="e">
        <f ca="1" t="shared" si="8"/>
        <v>#N/A</v>
      </c>
      <c r="M65" t="e">
        <f ca="1" t="shared" si="9"/>
        <v>#N/A</v>
      </c>
      <c r="O65">
        <f ca="1" t="shared" si="17"/>
        <v>0</v>
      </c>
      <c r="P65">
        <f ca="1" t="shared" si="18"/>
        <v>0</v>
      </c>
      <c r="Q65">
        <f ca="1" t="shared" si="19"/>
        <v>0</v>
      </c>
    </row>
    <row r="66" spans="2:17">
      <c r="B66">
        <f>tblIndicators!A53</f>
        <v>52</v>
      </c>
      <c r="C66">
        <f>tblIndicators!D53</f>
        <v>3</v>
      </c>
      <c r="D66" t="b">
        <f t="shared" si="13"/>
        <v>0</v>
      </c>
      <c r="E66">
        <f t="shared" si="0"/>
        <v>99.86</v>
      </c>
      <c r="F66">
        <f ca="1">MATCH(E66,QUARTILE(OFFSET(aRoundedScores,$B66-1,0,1,$B$2),{0,1,2,3}))</f>
        <v>4</v>
      </c>
      <c r="G66" s="155">
        <f ca="1" t="shared" si="14"/>
        <v>1</v>
      </c>
      <c r="H66">
        <f t="shared" si="15"/>
        <v>1</v>
      </c>
      <c r="I66" s="155" t="str">
        <f ca="1" t="shared" si="16"/>
        <v>x</v>
      </c>
      <c r="K66" t="e">
        <f ca="1" t="shared" si="7"/>
        <v>#N/A</v>
      </c>
      <c r="L66" t="e">
        <f ca="1" t="shared" si="8"/>
        <v>#N/A</v>
      </c>
      <c r="M66" t="e">
        <f ca="1" t="shared" si="9"/>
        <v>#N/A</v>
      </c>
      <c r="O66">
        <f ca="1" t="shared" si="17"/>
        <v>0</v>
      </c>
      <c r="P66">
        <f ca="1" t="shared" si="18"/>
        <v>0</v>
      </c>
      <c r="Q66">
        <f ca="1" t="shared" si="19"/>
        <v>0</v>
      </c>
    </row>
    <row r="67" spans="2:17">
      <c r="B67">
        <f>tblIndicators!A54</f>
        <v>53</v>
      </c>
      <c r="C67">
        <f>tblIndicators!D54</f>
        <v>3</v>
      </c>
      <c r="D67" t="b">
        <f t="shared" si="13"/>
        <v>0</v>
      </c>
      <c r="E67">
        <f t="shared" si="0"/>
        <v>37</v>
      </c>
      <c r="F67">
        <f ca="1">MATCH(E67,QUARTILE(OFFSET(aRoundedScores,$B67-1,0,1,$B$2),{0,1,2,3}))</f>
        <v>2</v>
      </c>
      <c r="G67" s="155">
        <f ca="1" t="shared" si="14"/>
        <v>2</v>
      </c>
      <c r="H67">
        <f t="shared" si="15"/>
        <v>2</v>
      </c>
      <c r="I67" s="155" t="str">
        <f ca="1" t="shared" si="16"/>
        <v>x</v>
      </c>
      <c r="K67" t="e">
        <f ca="1" t="shared" si="7"/>
        <v>#N/A</v>
      </c>
      <c r="L67" t="e">
        <f ca="1" t="shared" si="8"/>
        <v>#N/A</v>
      </c>
      <c r="M67" t="e">
        <f ca="1" t="shared" si="9"/>
        <v>#N/A</v>
      </c>
      <c r="O67">
        <f ca="1" t="shared" si="17"/>
        <v>0</v>
      </c>
      <c r="P67">
        <f ca="1" t="shared" si="18"/>
        <v>0</v>
      </c>
      <c r="Q67">
        <f ca="1" t="shared" si="19"/>
        <v>0</v>
      </c>
    </row>
    <row r="68" spans="2:17">
      <c r="B68">
        <f>tblIndicators!A55</f>
        <v>54</v>
      </c>
      <c r="C68">
        <f>tblIndicators!D55</f>
        <v>3</v>
      </c>
      <c r="D68" t="b">
        <f t="shared" si="13"/>
        <v>0</v>
      </c>
      <c r="E68">
        <f t="shared" si="0"/>
        <v>99.61</v>
      </c>
      <c r="F68">
        <f ca="1">MATCH(E68,QUARTILE(OFFSET(aRoundedScores,$B68-1,0,1,$B$2),{0,1,2,3}))</f>
        <v>4</v>
      </c>
      <c r="G68" s="155">
        <f ca="1" t="shared" si="14"/>
        <v>1</v>
      </c>
      <c r="H68">
        <f t="shared" si="15"/>
        <v>1</v>
      </c>
      <c r="I68" s="155" t="str">
        <f ca="1" t="shared" si="16"/>
        <v>x</v>
      </c>
      <c r="K68" t="e">
        <f ca="1" t="shared" si="7"/>
        <v>#N/A</v>
      </c>
      <c r="L68" t="e">
        <f ca="1" t="shared" si="8"/>
        <v>#N/A</v>
      </c>
      <c r="M68" t="e">
        <f ca="1" t="shared" si="9"/>
        <v>#N/A</v>
      </c>
      <c r="O68">
        <f ca="1" t="shared" si="17"/>
        <v>0</v>
      </c>
      <c r="P68">
        <f ca="1" t="shared" si="18"/>
        <v>0</v>
      </c>
      <c r="Q68">
        <f ca="1" t="shared" si="19"/>
        <v>0</v>
      </c>
    </row>
    <row r="69" spans="2:17">
      <c r="B69">
        <f>tblIndicators!A56</f>
        <v>55</v>
      </c>
      <c r="C69">
        <f>tblIndicators!D56</f>
        <v>3</v>
      </c>
      <c r="D69" t="b">
        <f t="shared" si="13"/>
        <v>0</v>
      </c>
      <c r="E69">
        <f t="shared" si="0"/>
        <v>100</v>
      </c>
      <c r="F69">
        <f ca="1">MATCH(E69,QUARTILE(OFFSET(aRoundedScores,$B69-1,0,1,$B$2),{0,1,2,3}))</f>
        <v>4</v>
      </c>
      <c r="G69" s="155">
        <f ca="1" t="shared" si="14"/>
        <v>1</v>
      </c>
      <c r="H69">
        <f t="shared" si="15"/>
        <v>1</v>
      </c>
      <c r="I69" s="155" t="str">
        <f ca="1" t="shared" si="16"/>
        <v>x</v>
      </c>
      <c r="K69" t="e">
        <f ca="1" t="shared" si="7"/>
        <v>#N/A</v>
      </c>
      <c r="L69" t="e">
        <f ca="1" t="shared" si="8"/>
        <v>#N/A</v>
      </c>
      <c r="M69" t="e">
        <f ca="1" t="shared" si="9"/>
        <v>#N/A</v>
      </c>
      <c r="O69">
        <f ca="1" t="shared" si="17"/>
        <v>0</v>
      </c>
      <c r="P69">
        <f ca="1" t="shared" si="18"/>
        <v>0</v>
      </c>
      <c r="Q69">
        <f ca="1" t="shared" si="19"/>
        <v>0</v>
      </c>
    </row>
    <row r="70" spans="2:17">
      <c r="B70">
        <f>tblIndicators!A57</f>
        <v>56</v>
      </c>
      <c r="C70">
        <f>tblIndicators!D57</f>
        <v>3</v>
      </c>
      <c r="D70" t="b">
        <f t="shared" si="13"/>
        <v>0</v>
      </c>
      <c r="E70">
        <f t="shared" si="0"/>
        <v>80.68</v>
      </c>
      <c r="F70">
        <f ca="1">MATCH(E70,QUARTILE(OFFSET(aRoundedScores,$B70-1,0,1,$B$2),{0,1,2,3}))</f>
        <v>2</v>
      </c>
      <c r="G70" s="155">
        <f ca="1" t="shared" si="14"/>
        <v>2</v>
      </c>
      <c r="H70">
        <f t="shared" si="15"/>
        <v>1</v>
      </c>
      <c r="I70" s="155" t="str">
        <f ca="1" t="shared" si="16"/>
        <v>x</v>
      </c>
      <c r="K70" t="e">
        <f ca="1" t="shared" si="7"/>
        <v>#N/A</v>
      </c>
      <c r="L70" t="e">
        <f ca="1" t="shared" si="8"/>
        <v>#N/A</v>
      </c>
      <c r="M70" t="e">
        <f ca="1" t="shared" si="9"/>
        <v>#N/A</v>
      </c>
      <c r="O70">
        <f ca="1" t="shared" si="17"/>
        <v>0</v>
      </c>
      <c r="P70">
        <f ca="1" t="shared" si="18"/>
        <v>0</v>
      </c>
      <c r="Q70">
        <f ca="1" t="shared" si="19"/>
        <v>0</v>
      </c>
    </row>
    <row r="71" spans="2:17">
      <c r="B71">
        <f>tblIndicators!A58</f>
        <v>57</v>
      </c>
      <c r="C71">
        <f>tblIndicators!D58</f>
        <v>3</v>
      </c>
      <c r="D71" t="b">
        <f t="shared" si="13"/>
        <v>0</v>
      </c>
      <c r="E71">
        <f t="shared" si="0"/>
        <v>86.02</v>
      </c>
      <c r="F71">
        <f ca="1">MATCH(E71,QUARTILE(OFFSET(aRoundedScores,$B71-1,0,1,$B$2),{0,1,2,3}))</f>
        <v>4</v>
      </c>
      <c r="G71" s="155">
        <f ca="1" t="shared" si="14"/>
        <v>1</v>
      </c>
      <c r="H71">
        <f t="shared" si="15"/>
        <v>1</v>
      </c>
      <c r="I71" s="155" t="str">
        <f ca="1" t="shared" si="16"/>
        <v>x</v>
      </c>
      <c r="K71" t="e">
        <f ca="1" t="shared" si="7"/>
        <v>#N/A</v>
      </c>
      <c r="L71" t="e">
        <f ca="1" t="shared" si="8"/>
        <v>#N/A</v>
      </c>
      <c r="M71" t="e">
        <f ca="1" t="shared" si="9"/>
        <v>#N/A</v>
      </c>
      <c r="O71">
        <f ca="1" t="shared" si="17"/>
        <v>0</v>
      </c>
      <c r="P71">
        <f ca="1" t="shared" si="18"/>
        <v>0</v>
      </c>
      <c r="Q71">
        <f ca="1" t="shared" si="19"/>
        <v>0</v>
      </c>
    </row>
  </sheetData>
  <sheetProtection selectLockedCells="1" selectUnlockedCell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FFC000"/>
    <pageSetUpPr fitToPage="1"/>
  </sheetPr>
  <dimension ref="A1:BV108"/>
  <sheetViews>
    <sheetView showGridLines="0" workbookViewId="0">
      <pane ySplit="8" topLeftCell="A35" activePane="bottomLeft" state="frozen"/>
      <selection/>
      <selection pane="bottomLeft" activeCell="A45" sqref="A45"/>
    </sheetView>
  </sheetViews>
  <sheetFormatPr defaultColWidth="9" defaultRowHeight="15"/>
  <cols>
    <col min="1" max="1" width="4.28571428571429" customWidth="1"/>
    <col min="2" max="11" width="8.85714285714286" hidden="1" customWidth="1"/>
    <col min="12" max="12" width="47.8571428571429" customWidth="1"/>
    <col min="13" max="21" width="10.4285714285714" customWidth="1"/>
    <col min="22" max="22" width="12" customWidth="1"/>
    <col min="23" max="24" width="10.4285714285714" customWidth="1"/>
    <col min="25" max="25" width="11.5714285714286" customWidth="1"/>
    <col min="26" max="28" width="10.4285714285714" customWidth="1"/>
    <col min="29" max="29" width="13.4285714285714" customWidth="1"/>
    <col min="30" max="36" width="12.7142857142857" customWidth="1"/>
  </cols>
  <sheetData>
    <row r="1" s="176" customFormat="1" ht="18.75" spans="1:1">
      <c r="A1" s="2" t="str">
        <f>Summary!A1</f>
        <v>                             Safe City Index</v>
      </c>
    </row>
    <row r="6" spans="1:1">
      <c r="A6" s="24"/>
    </row>
    <row r="7" ht="12" customHeight="1" spans="1:62">
      <c r="A7" s="24"/>
      <c r="L7" s="23"/>
      <c r="M7" s="23">
        <v>1</v>
      </c>
      <c r="N7" s="23">
        <v>2</v>
      </c>
      <c r="O7" s="23">
        <v>3</v>
      </c>
      <c r="P7" s="23">
        <v>4</v>
      </c>
      <c r="Q7" s="23">
        <v>5</v>
      </c>
      <c r="R7" s="23">
        <v>6</v>
      </c>
      <c r="S7" s="23">
        <v>7</v>
      </c>
      <c r="T7" s="23">
        <v>8</v>
      </c>
      <c r="U7" s="23">
        <v>9</v>
      </c>
      <c r="V7" s="23">
        <v>10</v>
      </c>
      <c r="W7" s="23">
        <v>11</v>
      </c>
      <c r="X7" s="23">
        <v>12</v>
      </c>
      <c r="Y7" s="23">
        <v>13</v>
      </c>
      <c r="Z7" s="23">
        <v>14</v>
      </c>
      <c r="AA7" s="23">
        <v>15</v>
      </c>
      <c r="AB7" s="23">
        <v>16</v>
      </c>
      <c r="AC7" s="23">
        <v>17</v>
      </c>
      <c r="AD7" s="23">
        <v>18</v>
      </c>
      <c r="AE7" s="23">
        <v>19</v>
      </c>
      <c r="AF7" s="23">
        <v>20</v>
      </c>
      <c r="AG7" s="23">
        <v>21</v>
      </c>
      <c r="AH7" s="23">
        <v>22</v>
      </c>
      <c r="AI7" s="23">
        <v>23</v>
      </c>
      <c r="AJ7" s="23">
        <v>24</v>
      </c>
      <c r="AK7" s="23">
        <v>25</v>
      </c>
      <c r="AL7" s="23">
        <v>26</v>
      </c>
      <c r="AM7" s="23">
        <v>27</v>
      </c>
      <c r="AN7" s="23">
        <v>28</v>
      </c>
      <c r="AO7" s="23">
        <v>29</v>
      </c>
      <c r="AP7" s="23">
        <v>30</v>
      </c>
      <c r="AQ7" s="23">
        <v>31</v>
      </c>
      <c r="AR7" s="23">
        <v>32</v>
      </c>
      <c r="AS7" s="23">
        <v>33</v>
      </c>
      <c r="AT7" s="23">
        <v>34</v>
      </c>
      <c r="AU7" s="23">
        <v>35</v>
      </c>
      <c r="AV7" s="23">
        <v>36</v>
      </c>
      <c r="AW7" s="23">
        <v>37</v>
      </c>
      <c r="AX7" s="23">
        <v>38</v>
      </c>
      <c r="AY7" s="23">
        <v>39</v>
      </c>
      <c r="AZ7" s="23">
        <v>40</v>
      </c>
      <c r="BA7" s="23">
        <v>41</v>
      </c>
      <c r="BB7" s="23">
        <v>42</v>
      </c>
      <c r="BC7" s="23">
        <v>43</v>
      </c>
      <c r="BD7" s="23">
        <v>44</v>
      </c>
      <c r="BE7" s="23">
        <v>45</v>
      </c>
      <c r="BF7" s="23">
        <v>46</v>
      </c>
      <c r="BG7" s="23">
        <v>47</v>
      </c>
      <c r="BH7" s="23">
        <v>48</v>
      </c>
      <c r="BI7" s="23">
        <v>49</v>
      </c>
      <c r="BJ7" s="23">
        <v>50</v>
      </c>
    </row>
    <row r="8" spans="1:62">
      <c r="A8" s="24"/>
      <c r="B8" s="24" t="str">
        <f>tblIndicators!B1</f>
        <v>IndiCode</v>
      </c>
      <c r="C8" s="24" t="str">
        <f>tblIndicators!C1</f>
        <v>IndiParent</v>
      </c>
      <c r="D8" s="24" t="s">
        <v>37</v>
      </c>
      <c r="E8" s="24"/>
      <c r="F8" s="24"/>
      <c r="G8" s="24"/>
      <c r="H8" s="24"/>
      <c r="I8" s="24"/>
      <c r="J8" s="24"/>
      <c r="K8" s="24"/>
      <c r="L8" s="25" t="s">
        <v>77</v>
      </c>
      <c r="M8" s="26" t="str">
        <f t="shared" ref="M8:BJ8" si="0">INDEX(luCountry,M7)</f>
        <v>Stockholm</v>
      </c>
      <c r="N8" s="26" t="str">
        <f t="shared" si="0"/>
        <v>Johannesburg</v>
      </c>
      <c r="O8" s="26" t="str">
        <f t="shared" si="0"/>
        <v>Buenos Aires</v>
      </c>
      <c r="P8" s="26" t="str">
        <f t="shared" si="0"/>
        <v>Sao Paulo</v>
      </c>
      <c r="Q8" s="26" t="str">
        <f t="shared" si="0"/>
        <v>Rio de Janeiro</v>
      </c>
      <c r="R8" s="26" t="str">
        <f t="shared" si="0"/>
        <v>Los Angeles</v>
      </c>
      <c r="S8" s="26" t="str">
        <f t="shared" si="0"/>
        <v>San Francisco</v>
      </c>
      <c r="T8" s="26" t="str">
        <f t="shared" si="0"/>
        <v>Toronto</v>
      </c>
      <c r="U8" s="26" t="str">
        <f t="shared" si="0"/>
        <v>Montreal</v>
      </c>
      <c r="V8" s="26" t="str">
        <f t="shared" si="0"/>
        <v>Chicago</v>
      </c>
      <c r="W8" s="26" t="str">
        <f t="shared" si="0"/>
        <v>Mexico City</v>
      </c>
      <c r="X8" s="26" t="str">
        <f t="shared" si="0"/>
        <v>Lima</v>
      </c>
      <c r="Y8" s="26" t="str">
        <f t="shared" si="0"/>
        <v>Santiago</v>
      </c>
      <c r="Z8" s="26" t="str">
        <f t="shared" si="0"/>
        <v>New York</v>
      </c>
      <c r="AA8" s="26" t="str">
        <f t="shared" si="0"/>
        <v>Washington DC</v>
      </c>
      <c r="AB8" s="26" t="str">
        <f t="shared" si="0"/>
        <v>Sydney</v>
      </c>
      <c r="AC8" s="26" t="str">
        <f t="shared" si="0"/>
        <v>Melbourne</v>
      </c>
      <c r="AD8" s="26" t="str">
        <f t="shared" si="0"/>
        <v>Hong Kong</v>
      </c>
      <c r="AE8" s="26" t="str">
        <f t="shared" si="0"/>
        <v>Beijing </v>
      </c>
      <c r="AF8" s="26" t="str">
        <f t="shared" si="0"/>
        <v>Shanghai</v>
      </c>
      <c r="AG8" s="26" t="str">
        <f t="shared" si="0"/>
        <v>Shenzhen</v>
      </c>
      <c r="AH8" s="26" t="str">
        <f t="shared" si="0"/>
        <v>Guangzhou</v>
      </c>
      <c r="AI8" s="26" t="str">
        <f t="shared" si="0"/>
        <v>Tianjin</v>
      </c>
      <c r="AJ8" s="26" t="str">
        <f t="shared" si="0"/>
        <v>Mumbai</v>
      </c>
      <c r="AK8" s="26" t="str">
        <f t="shared" si="0"/>
        <v>Delhi</v>
      </c>
      <c r="AL8" s="26" t="str">
        <f t="shared" si="0"/>
        <v>Jakarta</v>
      </c>
      <c r="AM8" s="26" t="str">
        <f t="shared" si="0"/>
        <v>Tehran</v>
      </c>
      <c r="AN8" s="26" t="str">
        <f t="shared" si="0"/>
        <v>Tokyo</v>
      </c>
      <c r="AO8" s="26" t="str">
        <f t="shared" si="0"/>
        <v>Osaka</v>
      </c>
      <c r="AP8" s="26" t="str">
        <f t="shared" si="0"/>
        <v>Singapore</v>
      </c>
      <c r="AQ8" s="26" t="str">
        <f t="shared" si="0"/>
        <v>Seoul</v>
      </c>
      <c r="AR8" s="26" t="str">
        <f t="shared" si="0"/>
        <v>Taipei</v>
      </c>
      <c r="AS8" s="26" t="str">
        <f t="shared" si="0"/>
        <v>Bangkok</v>
      </c>
      <c r="AT8" s="26" t="str">
        <f t="shared" si="0"/>
        <v>Ho Chi Minh</v>
      </c>
      <c r="AU8" s="26" t="str">
        <f t="shared" si="0"/>
        <v>Kuwait City</v>
      </c>
      <c r="AV8" s="26" t="str">
        <f t="shared" si="0"/>
        <v>Doha</v>
      </c>
      <c r="AW8" s="26" t="str">
        <f t="shared" si="0"/>
        <v>Riyadh</v>
      </c>
      <c r="AX8" s="26" t="str">
        <f t="shared" si="0"/>
        <v>Abu Dhabi</v>
      </c>
      <c r="AY8" s="26" t="str">
        <f t="shared" si="0"/>
        <v>Brussels</v>
      </c>
      <c r="AZ8" s="26" t="str">
        <f t="shared" si="0"/>
        <v>Paris</v>
      </c>
      <c r="BA8" s="26" t="str">
        <f t="shared" si="0"/>
        <v>Frankfurt</v>
      </c>
      <c r="BB8" s="26" t="str">
        <f t="shared" si="0"/>
        <v>Rome</v>
      </c>
      <c r="BC8" s="26" t="str">
        <f t="shared" si="0"/>
        <v>Milan</v>
      </c>
      <c r="BD8" s="26" t="str">
        <f t="shared" si="0"/>
        <v>Amsterdam</v>
      </c>
      <c r="BE8" s="26" t="str">
        <f t="shared" si="0"/>
        <v>Moscow</v>
      </c>
      <c r="BF8" s="26" t="str">
        <f t="shared" si="0"/>
        <v>Madrid</v>
      </c>
      <c r="BG8" s="26" t="str">
        <f t="shared" si="0"/>
        <v>Barcelona</v>
      </c>
      <c r="BH8" s="26" t="str">
        <f t="shared" si="0"/>
        <v>Zurich</v>
      </c>
      <c r="BI8" s="26" t="str">
        <f t="shared" si="0"/>
        <v>Istanbul</v>
      </c>
      <c r="BJ8" s="26" t="str">
        <f t="shared" si="0"/>
        <v>London</v>
      </c>
    </row>
    <row r="9" spans="1:62">
      <c r="A9" s="24">
        <f>tblIndicators!A2</f>
        <v>1</v>
      </c>
      <c r="B9" s="24"/>
      <c r="C9" s="24"/>
      <c r="D9" s="52"/>
      <c r="E9" s="52"/>
      <c r="F9" s="52"/>
      <c r="G9" s="52"/>
      <c r="H9" s="52"/>
      <c r="I9" s="52"/>
      <c r="J9" s="52"/>
      <c r="K9" s="54"/>
      <c r="L9" s="55" t="str">
        <f>tblIndicators!Z2</f>
        <v>TOTAL SCORE</v>
      </c>
      <c r="M9" s="181" t="s">
        <v>424</v>
      </c>
      <c r="N9" s="181" t="s">
        <v>424</v>
      </c>
      <c r="O9" s="181" t="s">
        <v>424</v>
      </c>
      <c r="P9" s="181" t="s">
        <v>424</v>
      </c>
      <c r="Q9" s="181" t="s">
        <v>424</v>
      </c>
      <c r="R9" s="181" t="s">
        <v>424</v>
      </c>
      <c r="S9" s="181" t="s">
        <v>424</v>
      </c>
      <c r="T9" s="181" t="s">
        <v>424</v>
      </c>
      <c r="U9" s="181" t="s">
        <v>424</v>
      </c>
      <c r="V9" s="181" t="s">
        <v>424</v>
      </c>
      <c r="W9" s="181" t="s">
        <v>424</v>
      </c>
      <c r="X9" s="181" t="s">
        <v>424</v>
      </c>
      <c r="Y9" s="181" t="s">
        <v>424</v>
      </c>
      <c r="Z9" s="181" t="s">
        <v>424</v>
      </c>
      <c r="AA9" s="181" t="s">
        <v>424</v>
      </c>
      <c r="AB9" s="181" t="s">
        <v>424</v>
      </c>
      <c r="AC9" s="181" t="s">
        <v>424</v>
      </c>
      <c r="AD9" s="181" t="s">
        <v>424</v>
      </c>
      <c r="AE9" s="181" t="s">
        <v>424</v>
      </c>
      <c r="AF9" s="181" t="s">
        <v>424</v>
      </c>
      <c r="AG9" s="181" t="s">
        <v>424</v>
      </c>
      <c r="AH9" s="181" t="s">
        <v>424</v>
      </c>
      <c r="AI9" s="181" t="s">
        <v>424</v>
      </c>
      <c r="AJ9" s="181" t="s">
        <v>424</v>
      </c>
      <c r="AK9" s="181" t="s">
        <v>424</v>
      </c>
      <c r="AL9" s="181" t="s">
        <v>424</v>
      </c>
      <c r="AM9" s="181" t="s">
        <v>424</v>
      </c>
      <c r="AN9" s="181" t="s">
        <v>424</v>
      </c>
      <c r="AO9" s="181" t="s">
        <v>424</v>
      </c>
      <c r="AP9" s="181" t="s">
        <v>424</v>
      </c>
      <c r="AQ9" s="181" t="s">
        <v>424</v>
      </c>
      <c r="AR9" s="181" t="s">
        <v>424</v>
      </c>
      <c r="AS9" s="181" t="s">
        <v>424</v>
      </c>
      <c r="AT9" s="181" t="s">
        <v>424</v>
      </c>
      <c r="AU9" s="181" t="s">
        <v>424</v>
      </c>
      <c r="AV9" s="181" t="s">
        <v>424</v>
      </c>
      <c r="AW9" s="181" t="s">
        <v>424</v>
      </c>
      <c r="AX9" s="181" t="s">
        <v>424</v>
      </c>
      <c r="AY9" s="181" t="s">
        <v>424</v>
      </c>
      <c r="AZ9" s="181" t="s">
        <v>424</v>
      </c>
      <c r="BA9" s="181" t="s">
        <v>424</v>
      </c>
      <c r="BB9" s="181" t="s">
        <v>424</v>
      </c>
      <c r="BC9" s="181" t="s">
        <v>424</v>
      </c>
      <c r="BD9" s="181" t="s">
        <v>424</v>
      </c>
      <c r="BE9" s="181" t="s">
        <v>424</v>
      </c>
      <c r="BF9" s="181" t="s">
        <v>424</v>
      </c>
      <c r="BG9" s="181" t="s">
        <v>424</v>
      </c>
      <c r="BH9" s="181" t="s">
        <v>424</v>
      </c>
      <c r="BI9" s="181" t="s">
        <v>424</v>
      </c>
      <c r="BJ9" s="181" t="s">
        <v>424</v>
      </c>
    </row>
    <row r="10" spans="1:62">
      <c r="A10" s="24">
        <f>tblIndicators!A3</f>
        <v>2</v>
      </c>
      <c r="B10" s="24"/>
      <c r="C10" s="24"/>
      <c r="D10" s="52"/>
      <c r="E10" s="52"/>
      <c r="F10" s="52"/>
      <c r="G10" s="52"/>
      <c r="H10" s="52"/>
      <c r="I10" s="52"/>
      <c r="J10" s="52"/>
      <c r="K10" s="54"/>
      <c r="L10" s="55" t="str">
        <f>tblIndicators!Z3</f>
        <v>1) DIGITAL SECURITY</v>
      </c>
      <c r="M10" s="181" t="s">
        <v>424</v>
      </c>
      <c r="N10" s="181" t="s">
        <v>424</v>
      </c>
      <c r="O10" s="181" t="s">
        <v>424</v>
      </c>
      <c r="P10" s="181" t="s">
        <v>424</v>
      </c>
      <c r="Q10" s="181" t="s">
        <v>424</v>
      </c>
      <c r="R10" s="181" t="s">
        <v>424</v>
      </c>
      <c r="S10" s="181" t="s">
        <v>424</v>
      </c>
      <c r="T10" s="181" t="s">
        <v>424</v>
      </c>
      <c r="U10" s="181" t="s">
        <v>424</v>
      </c>
      <c r="V10" s="181" t="s">
        <v>424</v>
      </c>
      <c r="W10" s="181" t="s">
        <v>424</v>
      </c>
      <c r="X10" s="181" t="s">
        <v>424</v>
      </c>
      <c r="Y10" s="181" t="s">
        <v>424</v>
      </c>
      <c r="Z10" s="181" t="s">
        <v>424</v>
      </c>
      <c r="AA10" s="181" t="s">
        <v>424</v>
      </c>
      <c r="AB10" s="181" t="s">
        <v>424</v>
      </c>
      <c r="AC10" s="181" t="s">
        <v>424</v>
      </c>
      <c r="AD10" s="181" t="s">
        <v>424</v>
      </c>
      <c r="AE10" s="181" t="s">
        <v>424</v>
      </c>
      <c r="AF10" s="181" t="s">
        <v>424</v>
      </c>
      <c r="AG10" s="181" t="s">
        <v>424</v>
      </c>
      <c r="AH10" s="181" t="s">
        <v>424</v>
      </c>
      <c r="AI10" s="181" t="s">
        <v>424</v>
      </c>
      <c r="AJ10" s="181" t="s">
        <v>424</v>
      </c>
      <c r="AK10" s="181" t="s">
        <v>424</v>
      </c>
      <c r="AL10" s="181" t="s">
        <v>424</v>
      </c>
      <c r="AM10" s="181" t="s">
        <v>424</v>
      </c>
      <c r="AN10" s="181" t="s">
        <v>424</v>
      </c>
      <c r="AO10" s="181" t="s">
        <v>424</v>
      </c>
      <c r="AP10" s="181" t="s">
        <v>424</v>
      </c>
      <c r="AQ10" s="181" t="s">
        <v>424</v>
      </c>
      <c r="AR10" s="181" t="s">
        <v>424</v>
      </c>
      <c r="AS10" s="181" t="s">
        <v>424</v>
      </c>
      <c r="AT10" s="181" t="s">
        <v>424</v>
      </c>
      <c r="AU10" s="181" t="s">
        <v>424</v>
      </c>
      <c r="AV10" s="181" t="s">
        <v>424</v>
      </c>
      <c r="AW10" s="181" t="s">
        <v>424</v>
      </c>
      <c r="AX10" s="181" t="s">
        <v>424</v>
      </c>
      <c r="AY10" s="181" t="s">
        <v>424</v>
      </c>
      <c r="AZ10" s="181" t="s">
        <v>424</v>
      </c>
      <c r="BA10" s="181" t="s">
        <v>424</v>
      </c>
      <c r="BB10" s="181" t="s">
        <v>424</v>
      </c>
      <c r="BC10" s="181" t="s">
        <v>424</v>
      </c>
      <c r="BD10" s="181" t="s">
        <v>424</v>
      </c>
      <c r="BE10" s="181" t="s">
        <v>424</v>
      </c>
      <c r="BF10" s="181" t="s">
        <v>424</v>
      </c>
      <c r="BG10" s="181" t="s">
        <v>424</v>
      </c>
      <c r="BH10" s="181" t="s">
        <v>424</v>
      </c>
      <c r="BI10" s="181" t="s">
        <v>424</v>
      </c>
      <c r="BJ10" s="181" t="s">
        <v>424</v>
      </c>
    </row>
    <row r="11" s="1" customFormat="1" spans="1:62">
      <c r="A11" s="24">
        <f>tblIndicators!A4</f>
        <v>3</v>
      </c>
      <c r="B11" s="177"/>
      <c r="C11" s="177"/>
      <c r="D11" s="178"/>
      <c r="E11" s="178"/>
      <c r="F11" s="178"/>
      <c r="G11" s="178"/>
      <c r="H11" s="178"/>
      <c r="I11" s="178"/>
      <c r="J11" s="178"/>
      <c r="K11" s="180"/>
      <c r="L11" s="55" t="str">
        <f>tblIndicators!Z4</f>
        <v>1.1) Digital Security (Inputs)</v>
      </c>
      <c r="M11" s="181" t="s">
        <v>424</v>
      </c>
      <c r="N11" s="181" t="s">
        <v>424</v>
      </c>
      <c r="O11" s="181" t="s">
        <v>424</v>
      </c>
      <c r="P11" s="181" t="s">
        <v>424</v>
      </c>
      <c r="Q11" s="181" t="s">
        <v>424</v>
      </c>
      <c r="R11" s="181" t="s">
        <v>424</v>
      </c>
      <c r="S11" s="181" t="s">
        <v>424</v>
      </c>
      <c r="T11" s="181" t="s">
        <v>424</v>
      </c>
      <c r="U11" s="181" t="s">
        <v>424</v>
      </c>
      <c r="V11" s="181" t="s">
        <v>424</v>
      </c>
      <c r="W11" s="181" t="s">
        <v>424</v>
      </c>
      <c r="X11" s="181" t="s">
        <v>424</v>
      </c>
      <c r="Y11" s="181" t="s">
        <v>424</v>
      </c>
      <c r="Z11" s="181" t="s">
        <v>424</v>
      </c>
      <c r="AA11" s="181" t="s">
        <v>424</v>
      </c>
      <c r="AB11" s="181" t="s">
        <v>424</v>
      </c>
      <c r="AC11" s="181" t="s">
        <v>424</v>
      </c>
      <c r="AD11" s="181" t="s">
        <v>424</v>
      </c>
      <c r="AE11" s="181" t="s">
        <v>424</v>
      </c>
      <c r="AF11" s="181" t="s">
        <v>424</v>
      </c>
      <c r="AG11" s="181" t="s">
        <v>424</v>
      </c>
      <c r="AH11" s="181" t="s">
        <v>424</v>
      </c>
      <c r="AI11" s="181" t="s">
        <v>424</v>
      </c>
      <c r="AJ11" s="181" t="s">
        <v>424</v>
      </c>
      <c r="AK11" s="181" t="s">
        <v>424</v>
      </c>
      <c r="AL11" s="181" t="s">
        <v>424</v>
      </c>
      <c r="AM11" s="181" t="s">
        <v>424</v>
      </c>
      <c r="AN11" s="181" t="s">
        <v>424</v>
      </c>
      <c r="AO11" s="181" t="s">
        <v>424</v>
      </c>
      <c r="AP11" s="181" t="s">
        <v>424</v>
      </c>
      <c r="AQ11" s="181" t="s">
        <v>424</v>
      </c>
      <c r="AR11" s="181" t="s">
        <v>424</v>
      </c>
      <c r="AS11" s="181" t="s">
        <v>424</v>
      </c>
      <c r="AT11" s="181" t="s">
        <v>424</v>
      </c>
      <c r="AU11" s="181" t="s">
        <v>424</v>
      </c>
      <c r="AV11" s="181" t="s">
        <v>424</v>
      </c>
      <c r="AW11" s="181" t="s">
        <v>424</v>
      </c>
      <c r="AX11" s="181" t="s">
        <v>424</v>
      </c>
      <c r="AY11" s="181" t="s">
        <v>424</v>
      </c>
      <c r="AZ11" s="181" t="s">
        <v>424</v>
      </c>
      <c r="BA11" s="181" t="s">
        <v>424</v>
      </c>
      <c r="BB11" s="181" t="s">
        <v>424</v>
      </c>
      <c r="BC11" s="181" t="s">
        <v>424</v>
      </c>
      <c r="BD11" s="181" t="s">
        <v>424</v>
      </c>
      <c r="BE11" s="181" t="s">
        <v>424</v>
      </c>
      <c r="BF11" s="181" t="s">
        <v>424</v>
      </c>
      <c r="BG11" s="181" t="s">
        <v>424</v>
      </c>
      <c r="BH11" s="181" t="s">
        <v>424</v>
      </c>
      <c r="BI11" s="181" t="s">
        <v>424</v>
      </c>
      <c r="BJ11" s="181" t="s">
        <v>424</v>
      </c>
    </row>
    <row r="12" s="22" customFormat="1" spans="1:62">
      <c r="A12" s="24">
        <f>tblIndicators!A5</f>
        <v>4</v>
      </c>
      <c r="B12" s="24"/>
      <c r="C12" s="24"/>
      <c r="D12" s="52"/>
      <c r="E12" s="52"/>
      <c r="F12" s="52"/>
      <c r="G12" s="52"/>
      <c r="H12" s="52"/>
      <c r="I12" s="52"/>
      <c r="J12" s="52"/>
      <c r="K12" s="54"/>
      <c r="L12" s="62" t="str">
        <f>tblIndicators!Z5</f>
        <v>1.1.1) Privacy policy</v>
      </c>
      <c r="M12" s="181" t="s">
        <v>425</v>
      </c>
      <c r="N12" s="181" t="s">
        <v>426</v>
      </c>
      <c r="O12" s="181" t="s">
        <v>427</v>
      </c>
      <c r="P12" s="181" t="s">
        <v>428</v>
      </c>
      <c r="Q12" s="181"/>
      <c r="R12" s="181" t="s">
        <v>429</v>
      </c>
      <c r="S12" s="181"/>
      <c r="T12" s="181" t="s">
        <v>430</v>
      </c>
      <c r="U12" s="181"/>
      <c r="V12" s="181" t="s">
        <v>431</v>
      </c>
      <c r="W12" s="181" t="s">
        <v>432</v>
      </c>
      <c r="X12" s="181" t="s">
        <v>433</v>
      </c>
      <c r="Y12" s="181" t="s">
        <v>434</v>
      </c>
      <c r="Z12" s="181" t="s">
        <v>435</v>
      </c>
      <c r="AA12" s="181" t="s">
        <v>436</v>
      </c>
      <c r="AB12" s="181" t="s">
        <v>437</v>
      </c>
      <c r="AC12" s="181" t="s">
        <v>438</v>
      </c>
      <c r="AD12" s="181" t="s">
        <v>439</v>
      </c>
      <c r="AE12" s="181" t="s">
        <v>440</v>
      </c>
      <c r="AF12" s="181" t="s">
        <v>441</v>
      </c>
      <c r="AG12" s="181" t="s">
        <v>442</v>
      </c>
      <c r="AH12" s="181" t="s">
        <v>443</v>
      </c>
      <c r="AI12" s="181" t="s">
        <v>444</v>
      </c>
      <c r="AJ12" s="181" t="s">
        <v>445</v>
      </c>
      <c r="AK12" s="181"/>
      <c r="AL12" s="181" t="s">
        <v>446</v>
      </c>
      <c r="AM12" s="181" t="s">
        <v>447</v>
      </c>
      <c r="AN12" s="181" t="s">
        <v>448</v>
      </c>
      <c r="AO12" s="181" t="s">
        <v>449</v>
      </c>
      <c r="AP12" s="181" t="s">
        <v>450</v>
      </c>
      <c r="AQ12" s="181" t="s">
        <v>451</v>
      </c>
      <c r="AR12" s="181" t="s">
        <v>452</v>
      </c>
      <c r="AS12" s="181" t="s">
        <v>453</v>
      </c>
      <c r="AT12" s="181" t="s">
        <v>454</v>
      </c>
      <c r="AU12" s="181" t="s">
        <v>455</v>
      </c>
      <c r="AV12" s="181" t="s">
        <v>456</v>
      </c>
      <c r="AW12" s="181" t="s">
        <v>457</v>
      </c>
      <c r="AX12" s="181" t="s">
        <v>458</v>
      </c>
      <c r="AY12" s="181" t="s">
        <v>459</v>
      </c>
      <c r="AZ12" s="181" t="s">
        <v>460</v>
      </c>
      <c r="BA12" s="181" t="s">
        <v>461</v>
      </c>
      <c r="BB12" s="181" t="s">
        <v>462</v>
      </c>
      <c r="BC12" s="181"/>
      <c r="BD12" s="181" t="s">
        <v>463</v>
      </c>
      <c r="BE12" s="181" t="s">
        <v>464</v>
      </c>
      <c r="BF12" s="181" t="s">
        <v>465</v>
      </c>
      <c r="BG12" s="181" t="s">
        <v>434</v>
      </c>
      <c r="BH12" s="181" t="s">
        <v>466</v>
      </c>
      <c r="BI12" s="181" t="s">
        <v>434</v>
      </c>
      <c r="BJ12" s="181" t="s">
        <v>467</v>
      </c>
    </row>
    <row r="13" s="22" customFormat="1" spans="1:62">
      <c r="A13" s="24">
        <f>tblIndicators!A6</f>
        <v>5</v>
      </c>
      <c r="B13" s="24"/>
      <c r="C13" s="24"/>
      <c r="D13" s="52"/>
      <c r="E13" s="52"/>
      <c r="F13" s="52"/>
      <c r="G13" s="52"/>
      <c r="H13" s="52"/>
      <c r="I13" s="52"/>
      <c r="J13" s="52"/>
      <c r="K13" s="54"/>
      <c r="L13" s="62" t="str">
        <f>tblIndicators!Z6</f>
        <v>1.1.2) Citizen awareness of digital threats</v>
      </c>
      <c r="M13" s="181" t="s">
        <v>468</v>
      </c>
      <c r="N13" s="181" t="s">
        <v>469</v>
      </c>
      <c r="O13" s="181" t="s">
        <v>470</v>
      </c>
      <c r="P13" s="181" t="s">
        <v>471</v>
      </c>
      <c r="Q13" s="181"/>
      <c r="R13" s="181" t="s">
        <v>472</v>
      </c>
      <c r="S13" s="181" t="s">
        <v>473</v>
      </c>
      <c r="T13" s="181" t="s">
        <v>474</v>
      </c>
      <c r="U13" s="181" t="s">
        <v>475</v>
      </c>
      <c r="V13" s="181" t="s">
        <v>476</v>
      </c>
      <c r="W13" s="181" t="s">
        <v>477</v>
      </c>
      <c r="X13" s="181" t="s">
        <v>478</v>
      </c>
      <c r="Y13" s="181" t="s">
        <v>479</v>
      </c>
      <c r="Z13" s="181" t="s">
        <v>480</v>
      </c>
      <c r="AA13" s="181" t="s">
        <v>481</v>
      </c>
      <c r="AB13" s="181" t="s">
        <v>482</v>
      </c>
      <c r="AC13" s="181" t="s">
        <v>483</v>
      </c>
      <c r="AD13" s="181" t="s">
        <v>484</v>
      </c>
      <c r="AE13" s="181" t="s">
        <v>485</v>
      </c>
      <c r="AF13" s="181"/>
      <c r="AG13" s="181"/>
      <c r="AH13" s="181"/>
      <c r="AI13" s="181"/>
      <c r="AJ13" s="181" t="s">
        <v>486</v>
      </c>
      <c r="AK13" s="181" t="s">
        <v>487</v>
      </c>
      <c r="AL13" s="181" t="s">
        <v>488</v>
      </c>
      <c r="AM13" s="181" t="s">
        <v>489</v>
      </c>
      <c r="AN13" s="181" t="s">
        <v>490</v>
      </c>
      <c r="AO13" s="181" t="s">
        <v>491</v>
      </c>
      <c r="AP13" s="181" t="s">
        <v>492</v>
      </c>
      <c r="AQ13" s="181" t="s">
        <v>493</v>
      </c>
      <c r="AR13" s="181" t="s">
        <v>494</v>
      </c>
      <c r="AS13" s="181" t="s">
        <v>495</v>
      </c>
      <c r="AT13" s="181" t="s">
        <v>496</v>
      </c>
      <c r="AU13" s="181" t="s">
        <v>497</v>
      </c>
      <c r="AV13" s="181" t="s">
        <v>498</v>
      </c>
      <c r="AW13" s="181" t="s">
        <v>499</v>
      </c>
      <c r="AX13" s="181" t="s">
        <v>500</v>
      </c>
      <c r="AY13" s="181" t="s">
        <v>501</v>
      </c>
      <c r="AZ13" s="181" t="s">
        <v>502</v>
      </c>
      <c r="BA13" s="181" t="s">
        <v>503</v>
      </c>
      <c r="BB13" s="181" t="s">
        <v>504</v>
      </c>
      <c r="BC13" s="181"/>
      <c r="BD13" s="181" t="s">
        <v>505</v>
      </c>
      <c r="BE13" s="181" t="s">
        <v>506</v>
      </c>
      <c r="BF13" s="181" t="s">
        <v>507</v>
      </c>
      <c r="BG13" s="181" t="s">
        <v>508</v>
      </c>
      <c r="BH13" s="181" t="s">
        <v>509</v>
      </c>
      <c r="BI13" s="181" t="s">
        <v>510</v>
      </c>
      <c r="BJ13" s="181" t="s">
        <v>511</v>
      </c>
    </row>
    <row r="14" s="22" customFormat="1" spans="1:62">
      <c r="A14" s="24">
        <f>tblIndicators!A7</f>
        <v>6</v>
      </c>
      <c r="B14" s="24"/>
      <c r="C14" s="24"/>
      <c r="D14" s="52"/>
      <c r="E14" s="52"/>
      <c r="F14" s="52"/>
      <c r="G14" s="52"/>
      <c r="H14" s="52"/>
      <c r="I14" s="52"/>
      <c r="J14" s="52"/>
      <c r="K14" s="54"/>
      <c r="L14" s="62" t="str">
        <f>tblIndicators!Z7</f>
        <v>1.1.3) City reliance on digital infrastructure</v>
      </c>
      <c r="M14" s="181" t="s">
        <v>512</v>
      </c>
      <c r="N14" s="181" t="s">
        <v>513</v>
      </c>
      <c r="O14" s="181" t="s">
        <v>514</v>
      </c>
      <c r="P14" s="181" t="s">
        <v>515</v>
      </c>
      <c r="Q14" s="181"/>
      <c r="R14" s="181" t="s">
        <v>516</v>
      </c>
      <c r="S14" s="181" t="s">
        <v>517</v>
      </c>
      <c r="T14" s="181" t="s">
        <v>518</v>
      </c>
      <c r="U14" s="181" t="s">
        <v>519</v>
      </c>
      <c r="V14" s="181" t="s">
        <v>520</v>
      </c>
      <c r="W14" s="181" t="s">
        <v>521</v>
      </c>
      <c r="X14" s="181" t="s">
        <v>522</v>
      </c>
      <c r="Y14" s="181" t="s">
        <v>523</v>
      </c>
      <c r="Z14" s="181" t="s">
        <v>524</v>
      </c>
      <c r="AA14" s="181" t="s">
        <v>525</v>
      </c>
      <c r="AB14" s="181" t="s">
        <v>526</v>
      </c>
      <c r="AC14" s="181" t="s">
        <v>527</v>
      </c>
      <c r="AD14" s="181" t="s">
        <v>528</v>
      </c>
      <c r="AE14" s="181" t="s">
        <v>529</v>
      </c>
      <c r="AF14" s="181" t="s">
        <v>530</v>
      </c>
      <c r="AG14" s="181" t="s">
        <v>531</v>
      </c>
      <c r="AH14" s="181" t="s">
        <v>532</v>
      </c>
      <c r="AI14" s="181" t="s">
        <v>533</v>
      </c>
      <c r="AJ14" s="181" t="s">
        <v>534</v>
      </c>
      <c r="AK14" s="181" t="s">
        <v>535</v>
      </c>
      <c r="AL14" s="181" t="s">
        <v>536</v>
      </c>
      <c r="AM14" s="181" t="s">
        <v>489</v>
      </c>
      <c r="AN14" s="181" t="s">
        <v>537</v>
      </c>
      <c r="AO14" s="181" t="s">
        <v>538</v>
      </c>
      <c r="AP14" s="181" t="s">
        <v>539</v>
      </c>
      <c r="AQ14" s="181" t="s">
        <v>540</v>
      </c>
      <c r="AR14" s="181" t="s">
        <v>541</v>
      </c>
      <c r="AS14" s="181" t="s">
        <v>542</v>
      </c>
      <c r="AT14" s="181" t="s">
        <v>543</v>
      </c>
      <c r="AU14" s="181" t="s">
        <v>544</v>
      </c>
      <c r="AV14" s="181" t="s">
        <v>545</v>
      </c>
      <c r="AW14" s="181" t="s">
        <v>546</v>
      </c>
      <c r="AX14" s="181" t="s">
        <v>547</v>
      </c>
      <c r="AY14" s="181" t="s">
        <v>548</v>
      </c>
      <c r="AZ14" s="181" t="s">
        <v>549</v>
      </c>
      <c r="BA14" s="181" t="s">
        <v>550</v>
      </c>
      <c r="BB14" s="181" t="s">
        <v>551</v>
      </c>
      <c r="BC14" s="181" t="s">
        <v>552</v>
      </c>
      <c r="BD14" s="181" t="s">
        <v>553</v>
      </c>
      <c r="BE14" s="181" t="s">
        <v>554</v>
      </c>
      <c r="BF14" s="181" t="s">
        <v>555</v>
      </c>
      <c r="BG14" s="181" t="s">
        <v>556</v>
      </c>
      <c r="BH14" s="181" t="s">
        <v>557</v>
      </c>
      <c r="BI14" s="181" t="s">
        <v>558</v>
      </c>
      <c r="BJ14" s="181" t="s">
        <v>559</v>
      </c>
    </row>
    <row r="15" s="22" customFormat="1" spans="1:62">
      <c r="A15" s="24">
        <f>tblIndicators!A8</f>
        <v>7</v>
      </c>
      <c r="B15" s="24"/>
      <c r="C15" s="24"/>
      <c r="D15" s="52"/>
      <c r="E15" s="52"/>
      <c r="F15" s="52"/>
      <c r="G15" s="52"/>
      <c r="H15" s="52"/>
      <c r="I15" s="52"/>
      <c r="J15" s="52"/>
      <c r="K15" s="54"/>
      <c r="L15" s="62" t="str">
        <f>tblIndicators!Z8</f>
        <v>1.1.4) Public-private partnerships</v>
      </c>
      <c r="M15" s="181" t="s">
        <v>560</v>
      </c>
      <c r="N15" s="181" t="s">
        <v>561</v>
      </c>
      <c r="O15" s="181" t="s">
        <v>479</v>
      </c>
      <c r="P15" s="181" t="s">
        <v>562</v>
      </c>
      <c r="Q15" s="181"/>
      <c r="R15" s="181" t="s">
        <v>563</v>
      </c>
      <c r="S15" s="181"/>
      <c r="T15" s="181" t="s">
        <v>564</v>
      </c>
      <c r="U15" s="181" t="s">
        <v>565</v>
      </c>
      <c r="V15" s="181" t="s">
        <v>563</v>
      </c>
      <c r="W15" s="181" t="s">
        <v>566</v>
      </c>
      <c r="X15" s="181" t="s">
        <v>567</v>
      </c>
      <c r="Y15" s="181" t="s">
        <v>568</v>
      </c>
      <c r="Z15" s="181" t="s">
        <v>569</v>
      </c>
      <c r="AA15" s="181" t="s">
        <v>570</v>
      </c>
      <c r="AB15" s="181" t="s">
        <v>571</v>
      </c>
      <c r="AC15" s="181" t="s">
        <v>572</v>
      </c>
      <c r="AD15" s="181" t="s">
        <v>573</v>
      </c>
      <c r="AE15" s="181" t="s">
        <v>574</v>
      </c>
      <c r="AF15" s="181" t="s">
        <v>575</v>
      </c>
      <c r="AG15" s="181"/>
      <c r="AH15" s="181"/>
      <c r="AI15" s="181"/>
      <c r="AJ15" s="181" t="s">
        <v>576</v>
      </c>
      <c r="AK15" s="181" t="s">
        <v>577</v>
      </c>
      <c r="AL15" s="181"/>
      <c r="AM15" s="181"/>
      <c r="AN15" s="181" t="s">
        <v>578</v>
      </c>
      <c r="AO15" s="181" t="s">
        <v>579</v>
      </c>
      <c r="AP15" s="181" t="s">
        <v>580</v>
      </c>
      <c r="AQ15" s="181" t="s">
        <v>581</v>
      </c>
      <c r="AR15" s="181" t="s">
        <v>582</v>
      </c>
      <c r="AS15" s="181" t="s">
        <v>583</v>
      </c>
      <c r="AT15" s="181" t="s">
        <v>584</v>
      </c>
      <c r="AU15" s="181" t="s">
        <v>585</v>
      </c>
      <c r="AV15" s="181" t="s">
        <v>586</v>
      </c>
      <c r="AW15" s="181" t="s">
        <v>587</v>
      </c>
      <c r="AX15" s="181" t="s">
        <v>588</v>
      </c>
      <c r="AY15" s="181" t="s">
        <v>589</v>
      </c>
      <c r="AZ15" s="181" t="s">
        <v>590</v>
      </c>
      <c r="BA15" s="181" t="s">
        <v>590</v>
      </c>
      <c r="BB15" s="181" t="s">
        <v>591</v>
      </c>
      <c r="BC15" s="181"/>
      <c r="BD15" s="181" t="s">
        <v>592</v>
      </c>
      <c r="BE15" s="181" t="s">
        <v>593</v>
      </c>
      <c r="BF15" s="181" t="s">
        <v>594</v>
      </c>
      <c r="BG15" s="181" t="s">
        <v>595</v>
      </c>
      <c r="BH15" s="181" t="s">
        <v>596</v>
      </c>
      <c r="BI15" s="181" t="s">
        <v>597</v>
      </c>
      <c r="BJ15" s="181" t="s">
        <v>598</v>
      </c>
    </row>
    <row r="16" s="22" customFormat="1" spans="1:62">
      <c r="A16" s="24">
        <f>tblIndicators!A9</f>
        <v>8</v>
      </c>
      <c r="B16" s="24"/>
      <c r="C16" s="24"/>
      <c r="D16" s="52"/>
      <c r="E16" s="52"/>
      <c r="F16" s="52"/>
      <c r="G16" s="52"/>
      <c r="H16" s="52"/>
      <c r="I16" s="52"/>
      <c r="J16" s="52"/>
      <c r="K16" s="54"/>
      <c r="L16" s="62" t="str">
        <f>tblIndicators!Z9</f>
        <v>1.1.5) Level of technology employed</v>
      </c>
      <c r="M16" s="181" t="s">
        <v>599</v>
      </c>
      <c r="N16" s="181" t="s">
        <v>600</v>
      </c>
      <c r="O16" s="181" t="s">
        <v>479</v>
      </c>
      <c r="P16" s="181" t="s">
        <v>601</v>
      </c>
      <c r="Q16" s="181"/>
      <c r="R16" s="181" t="s">
        <v>602</v>
      </c>
      <c r="S16" s="181"/>
      <c r="T16" s="181" t="s">
        <v>603</v>
      </c>
      <c r="U16" s="181"/>
      <c r="V16" s="181" t="s">
        <v>602</v>
      </c>
      <c r="W16" s="181" t="s">
        <v>604</v>
      </c>
      <c r="X16" s="181" t="s">
        <v>605</v>
      </c>
      <c r="Y16" s="181" t="s">
        <v>479</v>
      </c>
      <c r="Z16" s="181" t="s">
        <v>602</v>
      </c>
      <c r="AA16" s="181" t="s">
        <v>602</v>
      </c>
      <c r="AB16" s="181" t="s">
        <v>606</v>
      </c>
      <c r="AC16" s="181" t="s">
        <v>607</v>
      </c>
      <c r="AD16" s="181" t="s">
        <v>608</v>
      </c>
      <c r="AE16" s="181" t="s">
        <v>609</v>
      </c>
      <c r="AF16" s="181"/>
      <c r="AG16" s="181"/>
      <c r="AH16" s="181"/>
      <c r="AI16" s="181"/>
      <c r="AJ16" s="181" t="s">
        <v>610</v>
      </c>
      <c r="AK16" s="181" t="s">
        <v>611</v>
      </c>
      <c r="AL16" s="181" t="s">
        <v>612</v>
      </c>
      <c r="AM16" s="181" t="s">
        <v>613</v>
      </c>
      <c r="AN16" s="181" t="s">
        <v>614</v>
      </c>
      <c r="AO16" s="181" t="s">
        <v>615</v>
      </c>
      <c r="AP16" s="181" t="s">
        <v>616</v>
      </c>
      <c r="AQ16" s="181" t="s">
        <v>617</v>
      </c>
      <c r="AR16" s="181" t="s">
        <v>618</v>
      </c>
      <c r="AS16" s="181" t="s">
        <v>619</v>
      </c>
      <c r="AT16" s="181" t="s">
        <v>620</v>
      </c>
      <c r="AU16" s="181" t="s">
        <v>621</v>
      </c>
      <c r="AV16" s="181" t="s">
        <v>620</v>
      </c>
      <c r="AW16" s="181" t="s">
        <v>622</v>
      </c>
      <c r="AX16" s="181" t="s">
        <v>623</v>
      </c>
      <c r="AY16" s="181" t="s">
        <v>624</v>
      </c>
      <c r="AZ16" s="181" t="s">
        <v>625</v>
      </c>
      <c r="BA16" s="181" t="s">
        <v>626</v>
      </c>
      <c r="BB16" s="181" t="s">
        <v>627</v>
      </c>
      <c r="BC16" s="181"/>
      <c r="BD16" s="181" t="s">
        <v>628</v>
      </c>
      <c r="BE16" s="181" t="s">
        <v>629</v>
      </c>
      <c r="BF16" s="181" t="s">
        <v>630</v>
      </c>
      <c r="BG16" s="181" t="s">
        <v>631</v>
      </c>
      <c r="BH16" s="181" t="s">
        <v>541</v>
      </c>
      <c r="BI16" s="181" t="s">
        <v>632</v>
      </c>
      <c r="BJ16" s="181" t="s">
        <v>633</v>
      </c>
    </row>
    <row r="17" s="22" customFormat="1" spans="1:62">
      <c r="A17" s="24">
        <f>tblIndicators!A10</f>
        <v>9</v>
      </c>
      <c r="B17" s="24"/>
      <c r="C17" s="24"/>
      <c r="D17" s="52"/>
      <c r="E17" s="52"/>
      <c r="F17" s="52"/>
      <c r="G17" s="52"/>
      <c r="H17" s="52"/>
      <c r="I17" s="52"/>
      <c r="J17" s="52"/>
      <c r="K17" s="54"/>
      <c r="L17" s="62" t="str">
        <f>tblIndicators!Z10</f>
        <v>1.1.6) Dedicated cyber security teams</v>
      </c>
      <c r="M17" s="181" t="s">
        <v>634</v>
      </c>
      <c r="N17" s="181" t="s">
        <v>635</v>
      </c>
      <c r="O17" s="181" t="s">
        <v>636</v>
      </c>
      <c r="P17" s="181" t="s">
        <v>637</v>
      </c>
      <c r="Q17" s="181"/>
      <c r="R17" s="181" t="s">
        <v>638</v>
      </c>
      <c r="S17" s="181" t="s">
        <v>639</v>
      </c>
      <c r="T17" s="181" t="s">
        <v>640</v>
      </c>
      <c r="U17" s="181" t="s">
        <v>641</v>
      </c>
      <c r="V17" s="181" t="s">
        <v>642</v>
      </c>
      <c r="W17" s="181" t="s">
        <v>643</v>
      </c>
      <c r="X17" s="181" t="s">
        <v>644</v>
      </c>
      <c r="Y17" s="181" t="s">
        <v>645</v>
      </c>
      <c r="Z17" s="181" t="s">
        <v>646</v>
      </c>
      <c r="AA17" s="181" t="s">
        <v>642</v>
      </c>
      <c r="AB17" s="181" t="s">
        <v>647</v>
      </c>
      <c r="AC17" s="181" t="s">
        <v>648</v>
      </c>
      <c r="AD17" s="181" t="s">
        <v>649</v>
      </c>
      <c r="AE17" s="181" t="s">
        <v>650</v>
      </c>
      <c r="AF17" s="181"/>
      <c r="AG17" s="181" t="s">
        <v>651</v>
      </c>
      <c r="AH17" s="181" t="s">
        <v>650</v>
      </c>
      <c r="AI17" s="181"/>
      <c r="AJ17" s="181" t="s">
        <v>652</v>
      </c>
      <c r="AK17" s="181" t="s">
        <v>653</v>
      </c>
      <c r="AL17" s="181" t="s">
        <v>654</v>
      </c>
      <c r="AM17" s="181" t="s">
        <v>655</v>
      </c>
      <c r="AN17" s="181" t="s">
        <v>656</v>
      </c>
      <c r="AO17" s="181" t="s">
        <v>657</v>
      </c>
      <c r="AP17" s="181" t="s">
        <v>658</v>
      </c>
      <c r="AQ17" s="181" t="s">
        <v>659</v>
      </c>
      <c r="AR17" s="181" t="s">
        <v>660</v>
      </c>
      <c r="AS17" s="181" t="s">
        <v>661</v>
      </c>
      <c r="AT17" s="181" t="s">
        <v>662</v>
      </c>
      <c r="AU17" s="181" t="s">
        <v>663</v>
      </c>
      <c r="AV17" s="181" t="s">
        <v>664</v>
      </c>
      <c r="AW17" s="181" t="s">
        <v>665</v>
      </c>
      <c r="AX17" s="181" t="s">
        <v>666</v>
      </c>
      <c r="AY17" s="181" t="s">
        <v>667</v>
      </c>
      <c r="AZ17" s="181" t="s">
        <v>668</v>
      </c>
      <c r="BA17" s="181" t="s">
        <v>669</v>
      </c>
      <c r="BB17" s="181" t="s">
        <v>670</v>
      </c>
      <c r="BC17" s="181" t="s">
        <v>671</v>
      </c>
      <c r="BD17" s="181" t="s">
        <v>672</v>
      </c>
      <c r="BE17" s="181" t="s">
        <v>593</v>
      </c>
      <c r="BF17" s="181" t="s">
        <v>673</v>
      </c>
      <c r="BG17" s="181" t="s">
        <v>674</v>
      </c>
      <c r="BH17" s="181" t="s">
        <v>675</v>
      </c>
      <c r="BI17" s="181" t="s">
        <v>676</v>
      </c>
      <c r="BJ17" s="181" t="s">
        <v>677</v>
      </c>
    </row>
    <row r="18" s="22" customFormat="1" spans="1:62">
      <c r="A18" s="24">
        <f>tblIndicators!A11</f>
        <v>10</v>
      </c>
      <c r="B18" s="24"/>
      <c r="C18" s="24"/>
      <c r="D18" s="52"/>
      <c r="E18" s="52"/>
      <c r="F18" s="52"/>
      <c r="G18" s="52"/>
      <c r="H18" s="52"/>
      <c r="I18" s="52"/>
      <c r="J18" s="52"/>
      <c r="K18" s="54"/>
      <c r="L18" s="62" t="str">
        <f>tblIndicators!Z11</f>
        <v>1.2) Digital Security (Outputs)</v>
      </c>
      <c r="M18" s="181" t="s">
        <v>424</v>
      </c>
      <c r="N18" s="181" t="s">
        <v>424</v>
      </c>
      <c r="O18" s="181" t="s">
        <v>424</v>
      </c>
      <c r="P18" s="181" t="s">
        <v>424</v>
      </c>
      <c r="Q18" s="181" t="s">
        <v>424</v>
      </c>
      <c r="R18" s="181" t="s">
        <v>424</v>
      </c>
      <c r="S18" s="181" t="s">
        <v>424</v>
      </c>
      <c r="T18" s="181" t="s">
        <v>424</v>
      </c>
      <c r="U18" s="181" t="s">
        <v>424</v>
      </c>
      <c r="V18" s="181" t="s">
        <v>424</v>
      </c>
      <c r="W18" s="181" t="s">
        <v>424</v>
      </c>
      <c r="X18" s="181" t="s">
        <v>424</v>
      </c>
      <c r="Y18" s="181" t="s">
        <v>424</v>
      </c>
      <c r="Z18" s="181" t="s">
        <v>424</v>
      </c>
      <c r="AA18" s="181" t="s">
        <v>424</v>
      </c>
      <c r="AB18" s="181" t="s">
        <v>424</v>
      </c>
      <c r="AC18" s="181" t="s">
        <v>424</v>
      </c>
      <c r="AD18" s="181" t="s">
        <v>424</v>
      </c>
      <c r="AE18" s="181" t="s">
        <v>424</v>
      </c>
      <c r="AF18" s="181" t="s">
        <v>424</v>
      </c>
      <c r="AG18" s="181" t="s">
        <v>424</v>
      </c>
      <c r="AH18" s="181" t="s">
        <v>424</v>
      </c>
      <c r="AI18" s="181" t="s">
        <v>424</v>
      </c>
      <c r="AJ18" s="181" t="s">
        <v>424</v>
      </c>
      <c r="AK18" s="181" t="s">
        <v>424</v>
      </c>
      <c r="AL18" s="181" t="s">
        <v>424</v>
      </c>
      <c r="AM18" s="181" t="s">
        <v>424</v>
      </c>
      <c r="AN18" s="181" t="s">
        <v>424</v>
      </c>
      <c r="AO18" s="181" t="s">
        <v>424</v>
      </c>
      <c r="AP18" s="181" t="s">
        <v>424</v>
      </c>
      <c r="AQ18" s="181" t="s">
        <v>424</v>
      </c>
      <c r="AR18" s="181" t="s">
        <v>424</v>
      </c>
      <c r="AS18" s="181" t="s">
        <v>424</v>
      </c>
      <c r="AT18" s="181" t="s">
        <v>424</v>
      </c>
      <c r="AU18" s="181" t="s">
        <v>424</v>
      </c>
      <c r="AV18" s="181" t="s">
        <v>424</v>
      </c>
      <c r="AW18" s="181" t="s">
        <v>424</v>
      </c>
      <c r="AX18" s="181" t="s">
        <v>424</v>
      </c>
      <c r="AY18" s="181" t="s">
        <v>424</v>
      </c>
      <c r="AZ18" s="181" t="s">
        <v>424</v>
      </c>
      <c r="BA18" s="181" t="s">
        <v>424</v>
      </c>
      <c r="BB18" s="181" t="s">
        <v>424</v>
      </c>
      <c r="BC18" s="181" t="s">
        <v>424</v>
      </c>
      <c r="BD18" s="181" t="s">
        <v>424</v>
      </c>
      <c r="BE18" s="181" t="s">
        <v>424</v>
      </c>
      <c r="BF18" s="181" t="s">
        <v>424</v>
      </c>
      <c r="BG18" s="181" t="s">
        <v>424</v>
      </c>
      <c r="BH18" s="181" t="s">
        <v>424</v>
      </c>
      <c r="BI18" s="181" t="s">
        <v>424</v>
      </c>
      <c r="BJ18" s="181" t="s">
        <v>424</v>
      </c>
    </row>
    <row r="19" s="22" customFormat="1" spans="1:62">
      <c r="A19" s="24">
        <f>tblIndicators!A12</f>
        <v>11</v>
      </c>
      <c r="B19" s="24"/>
      <c r="C19" s="24"/>
      <c r="D19" s="52"/>
      <c r="E19" s="52"/>
      <c r="F19" s="52"/>
      <c r="G19" s="52"/>
      <c r="H19" s="52"/>
      <c r="I19" s="52"/>
      <c r="J19" s="52"/>
      <c r="K19" s="54"/>
      <c r="L19" s="62" t="str">
        <f>tblIndicators!Z12</f>
        <v>1.2.1) Frequency of identity theft</v>
      </c>
      <c r="M19" s="181" t="s">
        <v>678</v>
      </c>
      <c r="N19" s="181" t="s">
        <v>679</v>
      </c>
      <c r="O19" s="181" t="s">
        <v>680</v>
      </c>
      <c r="P19" s="181" t="s">
        <v>681</v>
      </c>
      <c r="Q19" s="181" t="s">
        <v>682</v>
      </c>
      <c r="R19" s="181"/>
      <c r="S19" s="181" t="s">
        <v>683</v>
      </c>
      <c r="T19" s="181" t="s">
        <v>684</v>
      </c>
      <c r="U19" s="181" t="s">
        <v>685</v>
      </c>
      <c r="V19" s="181" t="s">
        <v>686</v>
      </c>
      <c r="W19" s="181" t="s">
        <v>687</v>
      </c>
      <c r="X19" s="181" t="s">
        <v>688</v>
      </c>
      <c r="Y19" s="181" t="s">
        <v>689</v>
      </c>
      <c r="Z19" s="181" t="s">
        <v>690</v>
      </c>
      <c r="AA19" s="181" t="s">
        <v>691</v>
      </c>
      <c r="AB19" s="181" t="s">
        <v>692</v>
      </c>
      <c r="AC19" s="181" t="s">
        <v>692</v>
      </c>
      <c r="AD19" s="181"/>
      <c r="AE19" s="181" t="s">
        <v>693</v>
      </c>
      <c r="AF19" s="181" t="s">
        <v>694</v>
      </c>
      <c r="AG19" s="181" t="s">
        <v>695</v>
      </c>
      <c r="AH19" s="181" t="s">
        <v>696</v>
      </c>
      <c r="AI19" s="181" t="s">
        <v>697</v>
      </c>
      <c r="AJ19" s="181" t="s">
        <v>698</v>
      </c>
      <c r="AK19" s="181" t="s">
        <v>698</v>
      </c>
      <c r="AL19" s="181" t="s">
        <v>699</v>
      </c>
      <c r="AM19" s="181" t="s">
        <v>700</v>
      </c>
      <c r="AN19" s="181" t="s">
        <v>701</v>
      </c>
      <c r="AO19" s="181" t="s">
        <v>702</v>
      </c>
      <c r="AP19" s="181" t="s">
        <v>703</v>
      </c>
      <c r="AQ19" s="181" t="s">
        <v>704</v>
      </c>
      <c r="AR19" s="181" t="s">
        <v>705</v>
      </c>
      <c r="AS19" s="181" t="s">
        <v>706</v>
      </c>
      <c r="AT19" s="181" t="s">
        <v>707</v>
      </c>
      <c r="AU19" s="181" t="s">
        <v>708</v>
      </c>
      <c r="AV19" s="181" t="s">
        <v>709</v>
      </c>
      <c r="AW19" s="181" t="s">
        <v>710</v>
      </c>
      <c r="AX19" s="181" t="s">
        <v>711</v>
      </c>
      <c r="AY19" s="181" t="s">
        <v>712</v>
      </c>
      <c r="AZ19" s="181" t="s">
        <v>713</v>
      </c>
      <c r="BA19" s="181" t="s">
        <v>714</v>
      </c>
      <c r="BB19" s="181" t="s">
        <v>715</v>
      </c>
      <c r="BC19" s="181" t="s">
        <v>716</v>
      </c>
      <c r="BD19" s="181" t="s">
        <v>717</v>
      </c>
      <c r="BE19" s="181"/>
      <c r="BF19" s="181" t="s">
        <v>718</v>
      </c>
      <c r="BG19" s="181" t="s">
        <v>719</v>
      </c>
      <c r="BH19" s="181" t="s">
        <v>720</v>
      </c>
      <c r="BI19" s="181" t="s">
        <v>721</v>
      </c>
      <c r="BJ19" s="181" t="s">
        <v>722</v>
      </c>
    </row>
    <row r="20" s="22" customFormat="1" spans="1:62">
      <c r="A20" s="24">
        <f>tblIndicators!A13</f>
        <v>12</v>
      </c>
      <c r="B20" s="24"/>
      <c r="C20" s="24"/>
      <c r="D20" s="52"/>
      <c r="E20" s="52"/>
      <c r="F20" s="52"/>
      <c r="G20" s="52"/>
      <c r="H20" s="52"/>
      <c r="I20" s="52"/>
      <c r="J20" s="52"/>
      <c r="K20" s="54"/>
      <c r="L20" s="62" t="str">
        <f>tblIndicators!Z13</f>
        <v>1.2.2) Precentage of computers infected</v>
      </c>
      <c r="M20" s="181" t="s">
        <v>678</v>
      </c>
      <c r="N20" s="181" t="s">
        <v>679</v>
      </c>
      <c r="O20" s="181" t="s">
        <v>680</v>
      </c>
      <c r="P20" s="181" t="s">
        <v>681</v>
      </c>
      <c r="Q20" s="181" t="s">
        <v>682</v>
      </c>
      <c r="R20" s="181"/>
      <c r="S20" s="181" t="s">
        <v>683</v>
      </c>
      <c r="T20" s="181" t="s">
        <v>684</v>
      </c>
      <c r="U20" s="181" t="s">
        <v>685</v>
      </c>
      <c r="V20" s="181" t="s">
        <v>686</v>
      </c>
      <c r="W20" s="181" t="s">
        <v>687</v>
      </c>
      <c r="X20" s="181" t="s">
        <v>688</v>
      </c>
      <c r="Y20" s="181" t="s">
        <v>689</v>
      </c>
      <c r="Z20" s="181" t="s">
        <v>690</v>
      </c>
      <c r="AA20" s="181" t="s">
        <v>691</v>
      </c>
      <c r="AB20" s="181" t="s">
        <v>692</v>
      </c>
      <c r="AC20" s="181" t="s">
        <v>692</v>
      </c>
      <c r="AD20" s="181"/>
      <c r="AE20" s="181" t="s">
        <v>693</v>
      </c>
      <c r="AF20" s="181" t="s">
        <v>694</v>
      </c>
      <c r="AG20" s="181" t="s">
        <v>695</v>
      </c>
      <c r="AH20" s="181" t="s">
        <v>696</v>
      </c>
      <c r="AI20" s="181" t="s">
        <v>697</v>
      </c>
      <c r="AJ20" s="181" t="s">
        <v>698</v>
      </c>
      <c r="AK20" s="181" t="s">
        <v>698</v>
      </c>
      <c r="AL20" s="181" t="s">
        <v>699</v>
      </c>
      <c r="AM20" s="181" t="s">
        <v>700</v>
      </c>
      <c r="AN20" s="181" t="s">
        <v>701</v>
      </c>
      <c r="AO20" s="181" t="s">
        <v>702</v>
      </c>
      <c r="AP20" s="181" t="s">
        <v>703</v>
      </c>
      <c r="AQ20" s="181" t="s">
        <v>704</v>
      </c>
      <c r="AR20" s="181" t="s">
        <v>705</v>
      </c>
      <c r="AS20" s="181" t="s">
        <v>706</v>
      </c>
      <c r="AT20" s="181" t="s">
        <v>707</v>
      </c>
      <c r="AU20" s="181" t="s">
        <v>708</v>
      </c>
      <c r="AV20" s="181" t="s">
        <v>709</v>
      </c>
      <c r="AW20" s="181" t="s">
        <v>710</v>
      </c>
      <c r="AX20" s="181" t="s">
        <v>711</v>
      </c>
      <c r="AY20" s="181" t="s">
        <v>712</v>
      </c>
      <c r="AZ20" s="181" t="s">
        <v>713</v>
      </c>
      <c r="BA20" s="181" t="s">
        <v>714</v>
      </c>
      <c r="BB20" s="181" t="s">
        <v>715</v>
      </c>
      <c r="BC20" s="181" t="s">
        <v>716</v>
      </c>
      <c r="BD20" s="181" t="s">
        <v>717</v>
      </c>
      <c r="BE20" s="181"/>
      <c r="BF20" s="181" t="s">
        <v>718</v>
      </c>
      <c r="BG20" s="181" t="s">
        <v>719</v>
      </c>
      <c r="BH20" s="181" t="s">
        <v>720</v>
      </c>
      <c r="BI20" s="181" t="s">
        <v>721</v>
      </c>
      <c r="BJ20" s="181" t="s">
        <v>722</v>
      </c>
    </row>
    <row r="21" s="22" customFormat="1" spans="1:62">
      <c r="A21" s="24">
        <f>tblIndicators!A14</f>
        <v>13</v>
      </c>
      <c r="B21" s="24"/>
      <c r="C21" s="24"/>
      <c r="D21" s="52"/>
      <c r="E21" s="52"/>
      <c r="F21" s="52"/>
      <c r="G21" s="52"/>
      <c r="H21" s="52"/>
      <c r="I21" s="52"/>
      <c r="J21" s="52"/>
      <c r="K21" s="54"/>
      <c r="L21" s="62" t="str">
        <f>tblIndicators!Z14</f>
        <v>1.2.3) Percent with internet access</v>
      </c>
      <c r="M21" s="181" t="s">
        <v>723</v>
      </c>
      <c r="N21" s="181" t="s">
        <v>723</v>
      </c>
      <c r="O21" s="181" t="s">
        <v>724</v>
      </c>
      <c r="P21" s="181" t="s">
        <v>725</v>
      </c>
      <c r="Q21" s="181" t="s">
        <v>726</v>
      </c>
      <c r="R21" s="181" t="s">
        <v>727</v>
      </c>
      <c r="S21" s="181" t="s">
        <v>728</v>
      </c>
      <c r="T21" s="181" t="s">
        <v>729</v>
      </c>
      <c r="U21" s="181" t="s">
        <v>730</v>
      </c>
      <c r="V21" s="181" t="s">
        <v>731</v>
      </c>
      <c r="W21" s="181" t="s">
        <v>732</v>
      </c>
      <c r="X21" s="181" t="s">
        <v>733</v>
      </c>
      <c r="Y21" s="181" t="s">
        <v>734</v>
      </c>
      <c r="Z21" s="181" t="s">
        <v>735</v>
      </c>
      <c r="AA21" s="181" t="s">
        <v>735</v>
      </c>
      <c r="AB21" s="181" t="s">
        <v>736</v>
      </c>
      <c r="AC21" s="181" t="s">
        <v>736</v>
      </c>
      <c r="AD21" s="181" t="s">
        <v>737</v>
      </c>
      <c r="AE21" s="181" t="s">
        <v>738</v>
      </c>
      <c r="AF21" s="181" t="s">
        <v>738</v>
      </c>
      <c r="AG21" s="181" t="s">
        <v>738</v>
      </c>
      <c r="AH21" s="181" t="s">
        <v>738</v>
      </c>
      <c r="AI21" s="181" t="s">
        <v>738</v>
      </c>
      <c r="AJ21" s="181" t="s">
        <v>739</v>
      </c>
      <c r="AK21" s="181" t="s">
        <v>740</v>
      </c>
      <c r="AL21" s="181" t="s">
        <v>741</v>
      </c>
      <c r="AM21" s="181" t="s">
        <v>742</v>
      </c>
      <c r="AN21" s="181" t="s">
        <v>743</v>
      </c>
      <c r="AO21" s="181" t="s">
        <v>744</v>
      </c>
      <c r="AP21" s="181" t="s">
        <v>745</v>
      </c>
      <c r="AQ21" s="181" t="s">
        <v>746</v>
      </c>
      <c r="AR21" s="181" t="s">
        <v>747</v>
      </c>
      <c r="AS21" s="181" t="s">
        <v>748</v>
      </c>
      <c r="AT21" s="181" t="s">
        <v>749</v>
      </c>
      <c r="AU21" s="181" t="s">
        <v>750</v>
      </c>
      <c r="AV21" s="181" t="s">
        <v>751</v>
      </c>
      <c r="AW21" s="181" t="s">
        <v>752</v>
      </c>
      <c r="AX21" s="181" t="s">
        <v>753</v>
      </c>
      <c r="AY21" s="181" t="s">
        <v>754</v>
      </c>
      <c r="AZ21" s="181" t="s">
        <v>755</v>
      </c>
      <c r="BA21" s="181" t="s">
        <v>755</v>
      </c>
      <c r="BB21" s="181" t="s">
        <v>756</v>
      </c>
      <c r="BC21" s="181" t="s">
        <v>757</v>
      </c>
      <c r="BD21" s="181"/>
      <c r="BE21" s="181" t="s">
        <v>758</v>
      </c>
      <c r="BF21" s="181"/>
      <c r="BG21" s="181"/>
      <c r="BH21" s="181"/>
      <c r="BI21" s="181" t="s">
        <v>744</v>
      </c>
      <c r="BJ21" s="181"/>
    </row>
    <row r="22" s="22" customFormat="1" spans="1:62">
      <c r="A22" s="24">
        <f>tblIndicators!A15</f>
        <v>14</v>
      </c>
      <c r="B22" s="24"/>
      <c r="C22" s="24"/>
      <c r="D22" s="52"/>
      <c r="E22" s="52"/>
      <c r="F22" s="52"/>
      <c r="G22" s="52"/>
      <c r="H22" s="52"/>
      <c r="I22" s="52"/>
      <c r="J22" s="52"/>
      <c r="K22" s="54"/>
      <c r="L22" s="62" t="str">
        <f>tblIndicators!Z15</f>
        <v>2) HEALTH SECURITY</v>
      </c>
      <c r="M22" s="181" t="s">
        <v>424</v>
      </c>
      <c r="N22" s="181" t="s">
        <v>424</v>
      </c>
      <c r="O22" s="181" t="s">
        <v>424</v>
      </c>
      <c r="P22" s="181" t="s">
        <v>424</v>
      </c>
      <c r="Q22" s="181" t="s">
        <v>424</v>
      </c>
      <c r="R22" s="181" t="s">
        <v>424</v>
      </c>
      <c r="S22" s="181" t="s">
        <v>424</v>
      </c>
      <c r="T22" s="181" t="s">
        <v>424</v>
      </c>
      <c r="U22" s="181" t="s">
        <v>424</v>
      </c>
      <c r="V22" s="181" t="s">
        <v>424</v>
      </c>
      <c r="W22" s="181" t="s">
        <v>424</v>
      </c>
      <c r="X22" s="181" t="s">
        <v>424</v>
      </c>
      <c r="Y22" s="181" t="s">
        <v>424</v>
      </c>
      <c r="Z22" s="181" t="s">
        <v>424</v>
      </c>
      <c r="AA22" s="181" t="s">
        <v>424</v>
      </c>
      <c r="AB22" s="181" t="s">
        <v>424</v>
      </c>
      <c r="AC22" s="181" t="s">
        <v>424</v>
      </c>
      <c r="AD22" s="181" t="s">
        <v>424</v>
      </c>
      <c r="AE22" s="181" t="s">
        <v>424</v>
      </c>
      <c r="AF22" s="181" t="s">
        <v>424</v>
      </c>
      <c r="AG22" s="181" t="s">
        <v>424</v>
      </c>
      <c r="AH22" s="181" t="s">
        <v>424</v>
      </c>
      <c r="AI22" s="181" t="s">
        <v>424</v>
      </c>
      <c r="AJ22" s="181" t="s">
        <v>424</v>
      </c>
      <c r="AK22" s="181" t="s">
        <v>424</v>
      </c>
      <c r="AL22" s="181" t="s">
        <v>424</v>
      </c>
      <c r="AM22" s="181" t="s">
        <v>424</v>
      </c>
      <c r="AN22" s="181" t="s">
        <v>424</v>
      </c>
      <c r="AO22" s="181" t="s">
        <v>424</v>
      </c>
      <c r="AP22" s="181" t="s">
        <v>424</v>
      </c>
      <c r="AQ22" s="181" t="s">
        <v>424</v>
      </c>
      <c r="AR22" s="181" t="s">
        <v>424</v>
      </c>
      <c r="AS22" s="181" t="s">
        <v>424</v>
      </c>
      <c r="AT22" s="181" t="s">
        <v>424</v>
      </c>
      <c r="AU22" s="181" t="s">
        <v>424</v>
      </c>
      <c r="AV22" s="181" t="s">
        <v>424</v>
      </c>
      <c r="AW22" s="181" t="s">
        <v>424</v>
      </c>
      <c r="AX22" s="181" t="s">
        <v>424</v>
      </c>
      <c r="AY22" s="181" t="s">
        <v>424</v>
      </c>
      <c r="AZ22" s="181" t="s">
        <v>424</v>
      </c>
      <c r="BA22" s="181" t="s">
        <v>424</v>
      </c>
      <c r="BB22" s="181" t="s">
        <v>424</v>
      </c>
      <c r="BC22" s="181" t="s">
        <v>424</v>
      </c>
      <c r="BD22" s="181" t="s">
        <v>424</v>
      </c>
      <c r="BE22" s="181" t="s">
        <v>424</v>
      </c>
      <c r="BF22" s="181" t="s">
        <v>424</v>
      </c>
      <c r="BG22" s="181" t="s">
        <v>424</v>
      </c>
      <c r="BH22" s="181" t="s">
        <v>424</v>
      </c>
      <c r="BI22" s="181" t="s">
        <v>424</v>
      </c>
      <c r="BJ22" s="181" t="s">
        <v>424</v>
      </c>
    </row>
    <row r="23" s="22" customFormat="1" spans="1:12">
      <c r="A23" s="24">
        <f>tblIndicators!A16</f>
        <v>15</v>
      </c>
      <c r="B23" s="24"/>
      <c r="C23" s="24"/>
      <c r="D23" s="52"/>
      <c r="E23" s="52"/>
      <c r="F23" s="52"/>
      <c r="G23" s="52"/>
      <c r="H23" s="52"/>
      <c r="I23" s="52"/>
      <c r="J23" s="52"/>
      <c r="K23" s="54"/>
      <c r="L23" s="62" t="str">
        <f>tblIndicators!Z16</f>
        <v>2.1) Health Security (Inputs)</v>
      </c>
    </row>
    <row r="24" s="22" customFormat="1" spans="1:62">
      <c r="A24" s="24">
        <f>tblIndicators!A17</f>
        <v>16</v>
      </c>
      <c r="B24" s="24"/>
      <c r="C24" s="24"/>
      <c r="D24" s="52"/>
      <c r="E24" s="52"/>
      <c r="F24" s="52"/>
      <c r="G24" s="52"/>
      <c r="H24" s="52"/>
      <c r="I24" s="52"/>
      <c r="J24" s="52"/>
      <c r="K24" s="54"/>
      <c r="L24" s="62" t="str">
        <f>tblIndicators!Z17</f>
        <v>2.1.1) Environmental policies</v>
      </c>
      <c r="M24" s="181"/>
      <c r="N24" s="181" t="s">
        <v>759</v>
      </c>
      <c r="O24" s="181" t="s">
        <v>759</v>
      </c>
      <c r="P24" s="181" t="s">
        <v>759</v>
      </c>
      <c r="Q24" s="181" t="s">
        <v>759</v>
      </c>
      <c r="R24" s="181" t="s">
        <v>759</v>
      </c>
      <c r="S24" s="181" t="s">
        <v>759</v>
      </c>
      <c r="T24" s="181" t="s">
        <v>759</v>
      </c>
      <c r="U24" s="181" t="s">
        <v>759</v>
      </c>
      <c r="V24" s="181" t="s">
        <v>759</v>
      </c>
      <c r="W24" s="181" t="s">
        <v>759</v>
      </c>
      <c r="X24" s="181" t="s">
        <v>759</v>
      </c>
      <c r="Y24" s="181" t="s">
        <v>759</v>
      </c>
      <c r="Z24" s="181" t="s">
        <v>759</v>
      </c>
      <c r="AA24" s="181" t="s">
        <v>759</v>
      </c>
      <c r="AB24" s="181" t="s">
        <v>759</v>
      </c>
      <c r="AC24" s="181" t="s">
        <v>759</v>
      </c>
      <c r="AD24" s="181" t="s">
        <v>759</v>
      </c>
      <c r="AE24" s="181" t="s">
        <v>759</v>
      </c>
      <c r="AF24" s="181" t="s">
        <v>759</v>
      </c>
      <c r="AG24" s="181" t="s">
        <v>759</v>
      </c>
      <c r="AH24" s="181" t="s">
        <v>759</v>
      </c>
      <c r="AI24" s="181" t="s">
        <v>759</v>
      </c>
      <c r="AJ24" s="181" t="s">
        <v>759</v>
      </c>
      <c r="AK24" s="181" t="s">
        <v>759</v>
      </c>
      <c r="AL24" s="181" t="s">
        <v>759</v>
      </c>
      <c r="AM24" s="181" t="s">
        <v>759</v>
      </c>
      <c r="AN24" s="181" t="s">
        <v>759</v>
      </c>
      <c r="AO24" s="181" t="s">
        <v>759</v>
      </c>
      <c r="AP24" s="181" t="s">
        <v>759</v>
      </c>
      <c r="AQ24" s="181" t="s">
        <v>759</v>
      </c>
      <c r="AR24" s="181" t="s">
        <v>759</v>
      </c>
      <c r="AS24" s="181" t="s">
        <v>759</v>
      </c>
      <c r="AT24" s="181" t="s">
        <v>759</v>
      </c>
      <c r="AU24" s="181" t="s">
        <v>759</v>
      </c>
      <c r="AV24" s="181" t="s">
        <v>759</v>
      </c>
      <c r="AW24" s="181" t="s">
        <v>759</v>
      </c>
      <c r="AX24" s="181" t="s">
        <v>759</v>
      </c>
      <c r="AY24" s="181" t="s">
        <v>759</v>
      </c>
      <c r="AZ24" s="181" t="s">
        <v>759</v>
      </c>
      <c r="BA24" s="181" t="s">
        <v>759</v>
      </c>
      <c r="BB24" s="181" t="s">
        <v>759</v>
      </c>
      <c r="BC24" s="181" t="s">
        <v>759</v>
      </c>
      <c r="BD24" s="181" t="s">
        <v>759</v>
      </c>
      <c r="BE24" s="181" t="s">
        <v>759</v>
      </c>
      <c r="BF24" s="181" t="s">
        <v>759</v>
      </c>
      <c r="BG24" s="181" t="s">
        <v>759</v>
      </c>
      <c r="BH24" s="181" t="s">
        <v>759</v>
      </c>
      <c r="BI24" s="181" t="s">
        <v>759</v>
      </c>
      <c r="BJ24" s="181" t="s">
        <v>759</v>
      </c>
    </row>
    <row r="25" s="22" customFormat="1" spans="1:62">
      <c r="A25" s="24">
        <f>tblIndicators!A18</f>
        <v>17</v>
      </c>
      <c r="B25" s="24"/>
      <c r="C25" s="24"/>
      <c r="D25" s="52"/>
      <c r="E25" s="52"/>
      <c r="F25" s="52"/>
      <c r="G25" s="52"/>
      <c r="H25" s="52"/>
      <c r="I25" s="52"/>
      <c r="J25" s="52"/>
      <c r="K25" s="54"/>
      <c r="L25" s="62" t="str">
        <f>tblIndicators!Z18</f>
        <v>2.1.2) Access to healthcare</v>
      </c>
      <c r="M25" s="181"/>
      <c r="N25" s="181"/>
      <c r="O25" s="181" t="s">
        <v>760</v>
      </c>
      <c r="P25" s="181" t="s">
        <v>760</v>
      </c>
      <c r="Q25" s="181" t="s">
        <v>760</v>
      </c>
      <c r="R25" s="181" t="s">
        <v>760</v>
      </c>
      <c r="S25" s="181" t="s">
        <v>760</v>
      </c>
      <c r="T25" s="181" t="s">
        <v>760</v>
      </c>
      <c r="U25" s="181" t="s">
        <v>760</v>
      </c>
      <c r="V25" s="181" t="s">
        <v>761</v>
      </c>
      <c r="W25" s="181" t="s">
        <v>760</v>
      </c>
      <c r="X25" s="181" t="s">
        <v>760</v>
      </c>
      <c r="Y25" s="181" t="s">
        <v>760</v>
      </c>
      <c r="Z25" s="181" t="s">
        <v>760</v>
      </c>
      <c r="AA25" s="181" t="s">
        <v>760</v>
      </c>
      <c r="AB25" s="181" t="s">
        <v>760</v>
      </c>
      <c r="AC25" s="181" t="s">
        <v>760</v>
      </c>
      <c r="AD25" s="181" t="s">
        <v>762</v>
      </c>
      <c r="AE25" s="181" t="s">
        <v>760</v>
      </c>
      <c r="AF25" s="181" t="s">
        <v>760</v>
      </c>
      <c r="AG25" s="181" t="s">
        <v>760</v>
      </c>
      <c r="AH25" s="181" t="s">
        <v>760</v>
      </c>
      <c r="AI25" s="181" t="s">
        <v>760</v>
      </c>
      <c r="AJ25" s="181" t="s">
        <v>760</v>
      </c>
      <c r="AK25" s="181" t="s">
        <v>760</v>
      </c>
      <c r="AL25" s="181" t="s">
        <v>760</v>
      </c>
      <c r="AM25" s="181" t="s">
        <v>760</v>
      </c>
      <c r="AN25" s="181" t="s">
        <v>760</v>
      </c>
      <c r="AO25" s="181" t="s">
        <v>760</v>
      </c>
      <c r="AP25" s="181" t="s">
        <v>760</v>
      </c>
      <c r="AQ25" s="181" t="s">
        <v>760</v>
      </c>
      <c r="AR25" s="181" t="s">
        <v>760</v>
      </c>
      <c r="AS25" s="181" t="s">
        <v>763</v>
      </c>
      <c r="AT25" s="181" t="s">
        <v>760</v>
      </c>
      <c r="AU25" s="181" t="s">
        <v>760</v>
      </c>
      <c r="AV25" s="181" t="s">
        <v>764</v>
      </c>
      <c r="AW25" s="181" t="s">
        <v>765</v>
      </c>
      <c r="AX25" s="181" t="s">
        <v>766</v>
      </c>
      <c r="AY25" s="181" t="s">
        <v>767</v>
      </c>
      <c r="AZ25" s="181" t="s">
        <v>768</v>
      </c>
      <c r="BA25" s="181" t="s">
        <v>769</v>
      </c>
      <c r="BB25" s="181" t="s">
        <v>770</v>
      </c>
      <c r="BC25" s="181" t="s">
        <v>771</v>
      </c>
      <c r="BD25" s="181" t="s">
        <v>772</v>
      </c>
      <c r="BE25" s="181" t="s">
        <v>773</v>
      </c>
      <c r="BF25" s="181" t="s">
        <v>773</v>
      </c>
      <c r="BG25" s="181" t="s">
        <v>760</v>
      </c>
      <c r="BH25" s="181" t="s">
        <v>774</v>
      </c>
      <c r="BI25" s="181" t="s">
        <v>775</v>
      </c>
      <c r="BJ25" s="181" t="s">
        <v>760</v>
      </c>
    </row>
    <row r="26" s="22" customFormat="1" spans="1:62">
      <c r="A26" s="24">
        <f>tblIndicators!A19</f>
        <v>18</v>
      </c>
      <c r="B26" s="24"/>
      <c r="C26" s="24"/>
      <c r="D26" s="52"/>
      <c r="E26" s="52"/>
      <c r="F26" s="52"/>
      <c r="G26" s="52"/>
      <c r="H26" s="52"/>
      <c r="I26" s="52"/>
      <c r="J26" s="52"/>
      <c r="K26" s="54"/>
      <c r="L26" s="62" t="str">
        <f>tblIndicators!Z19</f>
        <v>2.1.3) No. of beds per 1000</v>
      </c>
      <c r="M26" s="181" t="s">
        <v>776</v>
      </c>
      <c r="N26" s="181" t="s">
        <v>777</v>
      </c>
      <c r="O26" s="181" t="s">
        <v>778</v>
      </c>
      <c r="P26" s="181" t="s">
        <v>779</v>
      </c>
      <c r="Q26" s="181" t="s">
        <v>780</v>
      </c>
      <c r="R26" s="181" t="s">
        <v>781</v>
      </c>
      <c r="S26" s="181" t="s">
        <v>782</v>
      </c>
      <c r="T26" s="181" t="s">
        <v>783</v>
      </c>
      <c r="U26" s="181" t="s">
        <v>783</v>
      </c>
      <c r="V26" s="181" t="s">
        <v>784</v>
      </c>
      <c r="W26" s="181" t="s">
        <v>785</v>
      </c>
      <c r="X26" s="181" t="s">
        <v>785</v>
      </c>
      <c r="Y26" s="181" t="s">
        <v>786</v>
      </c>
      <c r="Z26" s="181" t="s">
        <v>787</v>
      </c>
      <c r="AA26" s="181" t="s">
        <v>788</v>
      </c>
      <c r="AB26" s="181" t="s">
        <v>789</v>
      </c>
      <c r="AC26" s="181" t="s">
        <v>790</v>
      </c>
      <c r="AD26" s="181" t="s">
        <v>791</v>
      </c>
      <c r="AE26" s="181" t="s">
        <v>792</v>
      </c>
      <c r="AF26" s="181" t="s">
        <v>792</v>
      </c>
      <c r="AG26" s="181" t="s">
        <v>793</v>
      </c>
      <c r="AH26" s="181" t="s">
        <v>793</v>
      </c>
      <c r="AI26" s="181" t="s">
        <v>792</v>
      </c>
      <c r="AJ26" s="181" t="s">
        <v>794</v>
      </c>
      <c r="AK26" s="181" t="s">
        <v>795</v>
      </c>
      <c r="AL26" s="181" t="s">
        <v>796</v>
      </c>
      <c r="AM26" s="181" t="s">
        <v>797</v>
      </c>
      <c r="AN26" s="181" t="s">
        <v>798</v>
      </c>
      <c r="AO26" s="181" t="s">
        <v>799</v>
      </c>
      <c r="AP26" s="181" t="s">
        <v>800</v>
      </c>
      <c r="AQ26" s="181" t="s">
        <v>801</v>
      </c>
      <c r="AR26" s="181" t="s">
        <v>802</v>
      </c>
      <c r="AS26" s="181" t="s">
        <v>803</v>
      </c>
      <c r="AT26" s="181" t="s">
        <v>804</v>
      </c>
      <c r="AU26" s="181" t="s">
        <v>805</v>
      </c>
      <c r="AV26" s="181" t="s">
        <v>806</v>
      </c>
      <c r="AW26" s="181" t="s">
        <v>807</v>
      </c>
      <c r="AX26" s="181" t="s">
        <v>808</v>
      </c>
      <c r="AY26" s="181" t="s">
        <v>809</v>
      </c>
      <c r="AZ26" s="181" t="s">
        <v>810</v>
      </c>
      <c r="BA26" s="181" t="s">
        <v>778</v>
      </c>
      <c r="BB26" s="181" t="s">
        <v>811</v>
      </c>
      <c r="BC26" s="181" t="s">
        <v>812</v>
      </c>
      <c r="BD26" s="181" t="s">
        <v>813</v>
      </c>
      <c r="BE26" s="181" t="s">
        <v>814</v>
      </c>
      <c r="BF26" s="181" t="s">
        <v>815</v>
      </c>
      <c r="BG26" s="181" t="s">
        <v>816</v>
      </c>
      <c r="BH26" s="181" t="s">
        <v>817</v>
      </c>
      <c r="BI26" s="181" t="s">
        <v>818</v>
      </c>
      <c r="BJ26" s="181" t="s">
        <v>819</v>
      </c>
    </row>
    <row r="27" s="22" customFormat="1" spans="1:62">
      <c r="A27" s="24">
        <f>tblIndicators!A20</f>
        <v>19</v>
      </c>
      <c r="B27" s="24"/>
      <c r="C27" s="24"/>
      <c r="D27" s="52"/>
      <c r="E27" s="52"/>
      <c r="F27" s="52"/>
      <c r="G27" s="52"/>
      <c r="H27" s="52"/>
      <c r="I27" s="52"/>
      <c r="J27" s="52"/>
      <c r="K27" s="54"/>
      <c r="L27" s="62" t="str">
        <f>tblIndicators!Z20</f>
        <v>2.1.4) Number of doctors per 1000</v>
      </c>
      <c r="M27" s="181" t="s">
        <v>820</v>
      </c>
      <c r="N27" s="181" t="s">
        <v>785</v>
      </c>
      <c r="O27" s="181" t="s">
        <v>821</v>
      </c>
      <c r="P27" s="181" t="s">
        <v>822</v>
      </c>
      <c r="Q27" s="181" t="s">
        <v>823</v>
      </c>
      <c r="R27" s="181" t="s">
        <v>824</v>
      </c>
      <c r="S27" s="181" t="s">
        <v>825</v>
      </c>
      <c r="T27" s="181" t="s">
        <v>620</v>
      </c>
      <c r="U27" s="181" t="s">
        <v>620</v>
      </c>
      <c r="V27" s="181" t="s">
        <v>826</v>
      </c>
      <c r="W27" s="181" t="s">
        <v>785</v>
      </c>
      <c r="X27" s="181" t="s">
        <v>785</v>
      </c>
      <c r="Y27" s="181" t="s">
        <v>827</v>
      </c>
      <c r="Z27" s="181" t="s">
        <v>828</v>
      </c>
      <c r="AA27" s="181" t="s">
        <v>829</v>
      </c>
      <c r="AB27" s="181" t="s">
        <v>830</v>
      </c>
      <c r="AC27" s="181" t="s">
        <v>830</v>
      </c>
      <c r="AD27" s="181" t="s">
        <v>831</v>
      </c>
      <c r="AE27" s="181" t="s">
        <v>792</v>
      </c>
      <c r="AF27" s="181" t="s">
        <v>792</v>
      </c>
      <c r="AG27" s="181" t="s">
        <v>793</v>
      </c>
      <c r="AH27" s="181" t="s">
        <v>793</v>
      </c>
      <c r="AI27" s="181" t="s">
        <v>792</v>
      </c>
      <c r="AJ27" s="181" t="s">
        <v>832</v>
      </c>
      <c r="AK27" s="181" t="s">
        <v>833</v>
      </c>
      <c r="AL27" s="181" t="s">
        <v>834</v>
      </c>
      <c r="AM27" s="181" t="s">
        <v>835</v>
      </c>
      <c r="AN27" s="181" t="s">
        <v>836</v>
      </c>
      <c r="AO27" s="181" t="s">
        <v>837</v>
      </c>
      <c r="AP27" s="181" t="s">
        <v>785</v>
      </c>
      <c r="AQ27" s="181" t="s">
        <v>838</v>
      </c>
      <c r="AR27" s="181" t="s">
        <v>839</v>
      </c>
      <c r="AS27" s="181" t="s">
        <v>785</v>
      </c>
      <c r="AT27" s="181" t="s">
        <v>840</v>
      </c>
      <c r="AU27" s="181" t="s">
        <v>805</v>
      </c>
      <c r="AV27" s="181" t="s">
        <v>841</v>
      </c>
      <c r="AW27" s="181" t="s">
        <v>807</v>
      </c>
      <c r="AX27" s="181" t="s">
        <v>808</v>
      </c>
      <c r="AY27" s="181" t="s">
        <v>842</v>
      </c>
      <c r="AZ27" s="181" t="s">
        <v>843</v>
      </c>
      <c r="BA27" s="181" t="s">
        <v>844</v>
      </c>
      <c r="BB27" s="181" t="s">
        <v>841</v>
      </c>
      <c r="BC27" s="181" t="s">
        <v>845</v>
      </c>
      <c r="BD27" s="181" t="s">
        <v>821</v>
      </c>
      <c r="BE27" s="181" t="s">
        <v>814</v>
      </c>
      <c r="BF27" s="181" t="s">
        <v>815</v>
      </c>
      <c r="BG27" s="181" t="s">
        <v>846</v>
      </c>
      <c r="BH27" s="181" t="s">
        <v>847</v>
      </c>
      <c r="BI27" s="181" t="s">
        <v>848</v>
      </c>
      <c r="BJ27" s="181" t="s">
        <v>849</v>
      </c>
    </row>
    <row r="28" s="22" customFormat="1" spans="1:62">
      <c r="A28" s="24">
        <f>tblIndicators!A21</f>
        <v>20</v>
      </c>
      <c r="B28" s="24"/>
      <c r="C28" s="24"/>
      <c r="D28" s="52"/>
      <c r="E28" s="52"/>
      <c r="F28" s="52"/>
      <c r="G28" s="52"/>
      <c r="H28" s="52"/>
      <c r="I28" s="52"/>
      <c r="J28" s="52"/>
      <c r="K28" s="54"/>
      <c r="L28" s="62" t="str">
        <f>tblIndicators!Z21</f>
        <v>2.1.5) Access to safe and quality food</v>
      </c>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row>
    <row r="29" s="22" customFormat="1" spans="1:62">
      <c r="A29" s="24">
        <f>tblIndicators!A22</f>
        <v>21</v>
      </c>
      <c r="B29" s="24"/>
      <c r="C29" s="24"/>
      <c r="D29" s="52"/>
      <c r="E29" s="52"/>
      <c r="F29" s="52"/>
      <c r="G29" s="52"/>
      <c r="H29" s="52"/>
      <c r="I29" s="52"/>
      <c r="J29" s="52"/>
      <c r="K29" s="54"/>
      <c r="L29" s="62" t="str">
        <f>tblIndicators!Z22</f>
        <v>2.1.6) Quality of health services</v>
      </c>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181"/>
      <c r="BB29" s="181"/>
      <c r="BC29" s="181"/>
      <c r="BD29" s="181"/>
      <c r="BE29" s="181"/>
      <c r="BF29" s="181"/>
      <c r="BG29" s="181"/>
      <c r="BH29" s="181"/>
      <c r="BI29" s="181"/>
      <c r="BJ29" s="181"/>
    </row>
    <row r="30" s="22" customFormat="1" spans="1:62">
      <c r="A30" s="24">
        <f>tblIndicators!A23</f>
        <v>22</v>
      </c>
      <c r="B30" s="24"/>
      <c r="C30" s="24"/>
      <c r="D30" s="52"/>
      <c r="E30" s="52"/>
      <c r="F30" s="52"/>
      <c r="G30" s="52"/>
      <c r="H30" s="52"/>
      <c r="I30" s="52"/>
      <c r="J30" s="52"/>
      <c r="K30" s="54"/>
      <c r="L30" s="62" t="str">
        <f>tblIndicators!Z23</f>
        <v>2.2) Health Security (Outputs)</v>
      </c>
      <c r="M30" s="181" t="s">
        <v>424</v>
      </c>
      <c r="N30" s="181" t="s">
        <v>424</v>
      </c>
      <c r="O30" s="181" t="s">
        <v>424</v>
      </c>
      <c r="P30" s="181" t="s">
        <v>424</v>
      </c>
      <c r="Q30" s="181" t="s">
        <v>424</v>
      </c>
      <c r="R30" s="181" t="s">
        <v>424</v>
      </c>
      <c r="S30" s="181" t="s">
        <v>424</v>
      </c>
      <c r="T30" s="181" t="s">
        <v>424</v>
      </c>
      <c r="U30" s="181" t="s">
        <v>424</v>
      </c>
      <c r="V30" s="181" t="s">
        <v>424</v>
      </c>
      <c r="W30" s="181" t="s">
        <v>424</v>
      </c>
      <c r="X30" s="181" t="s">
        <v>424</v>
      </c>
      <c r="Y30" s="181" t="s">
        <v>424</v>
      </c>
      <c r="Z30" s="181" t="s">
        <v>424</v>
      </c>
      <c r="AA30" s="181" t="s">
        <v>424</v>
      </c>
      <c r="AB30" s="181" t="s">
        <v>424</v>
      </c>
      <c r="AC30" s="181" t="s">
        <v>424</v>
      </c>
      <c r="AD30" s="181" t="s">
        <v>424</v>
      </c>
      <c r="AE30" s="181" t="s">
        <v>424</v>
      </c>
      <c r="AF30" s="181" t="s">
        <v>424</v>
      </c>
      <c r="AG30" s="181" t="s">
        <v>424</v>
      </c>
      <c r="AH30" s="181" t="s">
        <v>424</v>
      </c>
      <c r="AI30" s="181" t="s">
        <v>424</v>
      </c>
      <c r="AJ30" s="181" t="s">
        <v>424</v>
      </c>
      <c r="AK30" s="181" t="s">
        <v>424</v>
      </c>
      <c r="AL30" s="181" t="s">
        <v>424</v>
      </c>
      <c r="AM30" s="181" t="s">
        <v>424</v>
      </c>
      <c r="AN30" s="181" t="s">
        <v>424</v>
      </c>
      <c r="AO30" s="181" t="s">
        <v>424</v>
      </c>
      <c r="AP30" s="181" t="s">
        <v>424</v>
      </c>
      <c r="AQ30" s="181" t="s">
        <v>424</v>
      </c>
      <c r="AR30" s="181" t="s">
        <v>424</v>
      </c>
      <c r="AS30" s="181" t="s">
        <v>424</v>
      </c>
      <c r="AT30" s="181" t="s">
        <v>424</v>
      </c>
      <c r="AU30" s="181" t="s">
        <v>424</v>
      </c>
      <c r="AV30" s="181" t="s">
        <v>424</v>
      </c>
      <c r="AW30" s="181" t="s">
        <v>424</v>
      </c>
      <c r="AX30" s="181" t="s">
        <v>424</v>
      </c>
      <c r="AY30" s="181" t="s">
        <v>424</v>
      </c>
      <c r="AZ30" s="181" t="s">
        <v>424</v>
      </c>
      <c r="BA30" s="181" t="s">
        <v>424</v>
      </c>
      <c r="BB30" s="181" t="s">
        <v>424</v>
      </c>
      <c r="BC30" s="181" t="s">
        <v>424</v>
      </c>
      <c r="BD30" s="181" t="s">
        <v>424</v>
      </c>
      <c r="BE30" s="181" t="s">
        <v>424</v>
      </c>
      <c r="BF30" s="181" t="s">
        <v>424</v>
      </c>
      <c r="BG30" s="181" t="s">
        <v>424</v>
      </c>
      <c r="BH30" s="181" t="s">
        <v>424</v>
      </c>
      <c r="BI30" s="181" t="s">
        <v>424</v>
      </c>
      <c r="BJ30" s="181" t="s">
        <v>424</v>
      </c>
    </row>
    <row r="31" s="22" customFormat="1" spans="1:62">
      <c r="A31" s="24">
        <f>tblIndicators!A24</f>
        <v>23</v>
      </c>
      <c r="B31" s="24"/>
      <c r="C31" s="24"/>
      <c r="D31" s="52"/>
      <c r="E31" s="52"/>
      <c r="F31" s="52"/>
      <c r="G31" s="52"/>
      <c r="H31" s="52"/>
      <c r="I31" s="52"/>
      <c r="J31" s="52"/>
      <c r="K31" s="54"/>
      <c r="L31" s="62" t="str">
        <f>tblIndicators!Z24</f>
        <v>2.2.1) Air quality</v>
      </c>
      <c r="M31" s="181" t="s">
        <v>850</v>
      </c>
      <c r="N31" s="181" t="s">
        <v>850</v>
      </c>
      <c r="O31" s="181" t="s">
        <v>850</v>
      </c>
      <c r="P31" s="181" t="s">
        <v>850</v>
      </c>
      <c r="Q31" s="181" t="s">
        <v>850</v>
      </c>
      <c r="R31" s="181" t="s">
        <v>850</v>
      </c>
      <c r="S31" s="181" t="s">
        <v>850</v>
      </c>
      <c r="T31" s="181" t="s">
        <v>850</v>
      </c>
      <c r="U31" s="181" t="s">
        <v>850</v>
      </c>
      <c r="V31" s="181" t="s">
        <v>850</v>
      </c>
      <c r="W31" s="181" t="s">
        <v>850</v>
      </c>
      <c r="X31" s="181" t="s">
        <v>850</v>
      </c>
      <c r="Y31" s="181" t="s">
        <v>850</v>
      </c>
      <c r="Z31" s="181" t="s">
        <v>850</v>
      </c>
      <c r="AA31" s="181" t="s">
        <v>850</v>
      </c>
      <c r="AB31" s="181" t="s">
        <v>850</v>
      </c>
      <c r="AC31" s="181" t="s">
        <v>850</v>
      </c>
      <c r="AD31" s="181" t="s">
        <v>850</v>
      </c>
      <c r="AE31" s="181" t="s">
        <v>850</v>
      </c>
      <c r="AF31" s="181" t="s">
        <v>850</v>
      </c>
      <c r="AG31" s="181" t="s">
        <v>850</v>
      </c>
      <c r="AH31" s="181" t="s">
        <v>850</v>
      </c>
      <c r="AI31" s="181" t="s">
        <v>850</v>
      </c>
      <c r="AJ31" s="181" t="s">
        <v>850</v>
      </c>
      <c r="AK31" s="181" t="s">
        <v>850</v>
      </c>
      <c r="AL31" s="181" t="s">
        <v>850</v>
      </c>
      <c r="AM31" s="181" t="s">
        <v>851</v>
      </c>
      <c r="AN31" s="181" t="s">
        <v>850</v>
      </c>
      <c r="AO31" s="181" t="s">
        <v>850</v>
      </c>
      <c r="AP31" s="181" t="s">
        <v>850</v>
      </c>
      <c r="AQ31" s="181" t="s">
        <v>850</v>
      </c>
      <c r="AR31" s="181" t="s">
        <v>850</v>
      </c>
      <c r="AS31" s="181" t="s">
        <v>850</v>
      </c>
      <c r="AT31" s="181" t="s">
        <v>850</v>
      </c>
      <c r="AU31" s="181" t="s">
        <v>851</v>
      </c>
      <c r="AV31" s="181" t="s">
        <v>851</v>
      </c>
      <c r="AW31" s="181" t="s">
        <v>851</v>
      </c>
      <c r="AX31" s="181" t="s">
        <v>851</v>
      </c>
      <c r="AY31" s="181" t="s">
        <v>850</v>
      </c>
      <c r="AZ31" s="181" t="s">
        <v>850</v>
      </c>
      <c r="BA31" s="181" t="s">
        <v>850</v>
      </c>
      <c r="BB31" s="181" t="s">
        <v>850</v>
      </c>
      <c r="BC31" s="181" t="s">
        <v>850</v>
      </c>
      <c r="BD31" s="181" t="s">
        <v>850</v>
      </c>
      <c r="BE31" s="181" t="s">
        <v>851</v>
      </c>
      <c r="BF31" s="181" t="s">
        <v>850</v>
      </c>
      <c r="BG31" s="181" t="s">
        <v>850</v>
      </c>
      <c r="BH31" s="181" t="s">
        <v>850</v>
      </c>
      <c r="BI31" s="181" t="s">
        <v>850</v>
      </c>
      <c r="BJ31" s="181" t="s">
        <v>850</v>
      </c>
    </row>
    <row r="32" s="22" customFormat="1" spans="1:62">
      <c r="A32" s="24">
        <f>tblIndicators!A25</f>
        <v>24</v>
      </c>
      <c r="B32" s="24"/>
      <c r="C32" s="24"/>
      <c r="D32" s="52"/>
      <c r="E32" s="52"/>
      <c r="F32" s="52"/>
      <c r="G32" s="52"/>
      <c r="H32" s="52"/>
      <c r="I32" s="52"/>
      <c r="J32" s="52"/>
      <c r="K32" s="54"/>
      <c r="L32" s="62" t="str">
        <f>tblIndicators!Z25</f>
        <v>2.2.2) Water quality</v>
      </c>
      <c r="M32" s="181" t="s">
        <v>850</v>
      </c>
      <c r="N32" s="181" t="s">
        <v>850</v>
      </c>
      <c r="O32" s="181" t="s">
        <v>850</v>
      </c>
      <c r="P32" s="181" t="s">
        <v>850</v>
      </c>
      <c r="Q32" s="181" t="s">
        <v>850</v>
      </c>
      <c r="R32" s="181" t="s">
        <v>850</v>
      </c>
      <c r="S32" s="181" t="s">
        <v>850</v>
      </c>
      <c r="T32" s="181" t="s">
        <v>850</v>
      </c>
      <c r="U32" s="181" t="s">
        <v>850</v>
      </c>
      <c r="V32" s="181" t="s">
        <v>850</v>
      </c>
      <c r="W32" s="181" t="s">
        <v>850</v>
      </c>
      <c r="X32" s="181" t="s">
        <v>850</v>
      </c>
      <c r="Y32" s="181" t="s">
        <v>850</v>
      </c>
      <c r="Z32" s="181" t="s">
        <v>850</v>
      </c>
      <c r="AA32" s="181" t="s">
        <v>850</v>
      </c>
      <c r="AB32" s="181" t="s">
        <v>850</v>
      </c>
      <c r="AC32" s="181" t="s">
        <v>850</v>
      </c>
      <c r="AD32" s="181" t="s">
        <v>850</v>
      </c>
      <c r="AE32" s="181" t="s">
        <v>850</v>
      </c>
      <c r="AF32" s="181" t="s">
        <v>850</v>
      </c>
      <c r="AG32" s="181" t="s">
        <v>850</v>
      </c>
      <c r="AH32" s="181" t="s">
        <v>850</v>
      </c>
      <c r="AI32" s="181" t="s">
        <v>850</v>
      </c>
      <c r="AJ32" s="181" t="s">
        <v>850</v>
      </c>
      <c r="AK32" s="181" t="s">
        <v>850</v>
      </c>
      <c r="AL32" s="181" t="s">
        <v>850</v>
      </c>
      <c r="AM32" s="181" t="s">
        <v>851</v>
      </c>
      <c r="AN32" s="181" t="s">
        <v>850</v>
      </c>
      <c r="AO32" s="181" t="s">
        <v>850</v>
      </c>
      <c r="AP32" s="181" t="s">
        <v>850</v>
      </c>
      <c r="AQ32" s="181" t="s">
        <v>850</v>
      </c>
      <c r="AR32" s="181" t="s">
        <v>850</v>
      </c>
      <c r="AS32" s="181" t="s">
        <v>850</v>
      </c>
      <c r="AT32" s="181" t="s">
        <v>850</v>
      </c>
      <c r="AU32" s="181" t="s">
        <v>851</v>
      </c>
      <c r="AV32" s="181" t="s">
        <v>851</v>
      </c>
      <c r="AW32" s="181" t="s">
        <v>851</v>
      </c>
      <c r="AX32" s="181" t="s">
        <v>851</v>
      </c>
      <c r="AY32" s="181" t="s">
        <v>850</v>
      </c>
      <c r="AZ32" s="181" t="s">
        <v>850</v>
      </c>
      <c r="BA32" s="181" t="s">
        <v>850</v>
      </c>
      <c r="BB32" s="181" t="s">
        <v>850</v>
      </c>
      <c r="BC32" s="181" t="s">
        <v>850</v>
      </c>
      <c r="BD32" s="181" t="s">
        <v>850</v>
      </c>
      <c r="BE32" s="181" t="s">
        <v>851</v>
      </c>
      <c r="BF32" s="181" t="s">
        <v>850</v>
      </c>
      <c r="BG32" s="181" t="s">
        <v>850</v>
      </c>
      <c r="BH32" s="181" t="s">
        <v>850</v>
      </c>
      <c r="BI32" s="181" t="s">
        <v>850</v>
      </c>
      <c r="BJ32" s="181" t="s">
        <v>850</v>
      </c>
    </row>
    <row r="33" s="22" customFormat="1" spans="1:62">
      <c r="A33" s="24">
        <f>tblIndicators!A26</f>
        <v>25</v>
      </c>
      <c r="B33" s="24"/>
      <c r="C33" s="24"/>
      <c r="D33" s="52"/>
      <c r="E33" s="52"/>
      <c r="F33" s="52"/>
      <c r="G33" s="52"/>
      <c r="H33" s="52"/>
      <c r="I33" s="52"/>
      <c r="J33" s="52"/>
      <c r="K33" s="54"/>
      <c r="L33" s="62" t="str">
        <f>tblIndicators!Z26</f>
        <v>2.2.3) Life expectancy</v>
      </c>
      <c r="M33" s="181" t="s">
        <v>852</v>
      </c>
      <c r="N33" s="181" t="s">
        <v>853</v>
      </c>
      <c r="O33" s="181" t="s">
        <v>854</v>
      </c>
      <c r="P33" s="181" t="s">
        <v>855</v>
      </c>
      <c r="Q33" s="181" t="s">
        <v>856</v>
      </c>
      <c r="R33" s="181" t="s">
        <v>857</v>
      </c>
      <c r="S33" s="181" t="s">
        <v>858</v>
      </c>
      <c r="T33" s="181" t="s">
        <v>859</v>
      </c>
      <c r="U33" s="181" t="s">
        <v>860</v>
      </c>
      <c r="V33" s="181" t="s">
        <v>861</v>
      </c>
      <c r="W33" s="181" t="s">
        <v>785</v>
      </c>
      <c r="X33" s="181" t="s">
        <v>785</v>
      </c>
      <c r="Y33" s="181" t="s">
        <v>862</v>
      </c>
      <c r="Z33" s="181" t="s">
        <v>863</v>
      </c>
      <c r="AA33" s="181" t="s">
        <v>864</v>
      </c>
      <c r="AB33" s="181" t="s">
        <v>865</v>
      </c>
      <c r="AC33" s="181" t="s">
        <v>866</v>
      </c>
      <c r="AD33" s="181" t="s">
        <v>867</v>
      </c>
      <c r="AE33" s="181" t="s">
        <v>868</v>
      </c>
      <c r="AF33" s="181" t="s">
        <v>869</v>
      </c>
      <c r="AG33" s="181" t="s">
        <v>870</v>
      </c>
      <c r="AH33" s="181" t="s">
        <v>869</v>
      </c>
      <c r="AI33" s="181" t="s">
        <v>871</v>
      </c>
      <c r="AJ33" s="181" t="s">
        <v>832</v>
      </c>
      <c r="AK33" s="181" t="s">
        <v>872</v>
      </c>
      <c r="AL33" s="181" t="s">
        <v>873</v>
      </c>
      <c r="AM33" s="181" t="s">
        <v>874</v>
      </c>
      <c r="AN33" s="181" t="s">
        <v>875</v>
      </c>
      <c r="AO33" s="181" t="s">
        <v>875</v>
      </c>
      <c r="AP33" s="181" t="s">
        <v>785</v>
      </c>
      <c r="AQ33" s="181" t="s">
        <v>876</v>
      </c>
      <c r="AR33" s="181" t="s">
        <v>877</v>
      </c>
      <c r="AS33" s="181" t="s">
        <v>785</v>
      </c>
      <c r="AT33" s="181" t="s">
        <v>878</v>
      </c>
      <c r="AU33" s="181" t="s">
        <v>879</v>
      </c>
      <c r="AV33" s="181" t="s">
        <v>880</v>
      </c>
      <c r="AW33" s="181" t="s">
        <v>881</v>
      </c>
      <c r="AX33" s="181" t="s">
        <v>882</v>
      </c>
      <c r="AY33" s="181" t="s">
        <v>883</v>
      </c>
      <c r="AZ33" s="181" t="s">
        <v>884</v>
      </c>
      <c r="BA33" s="181" t="s">
        <v>885</v>
      </c>
      <c r="BB33" s="181" t="s">
        <v>886</v>
      </c>
      <c r="BC33" s="181" t="s">
        <v>887</v>
      </c>
      <c r="BD33" s="181" t="s">
        <v>888</v>
      </c>
      <c r="BE33" s="181" t="s">
        <v>889</v>
      </c>
      <c r="BF33" s="181" t="s">
        <v>890</v>
      </c>
      <c r="BG33" s="181" t="s">
        <v>891</v>
      </c>
      <c r="BH33" s="181" t="s">
        <v>892</v>
      </c>
      <c r="BI33" s="181" t="s">
        <v>893</v>
      </c>
      <c r="BJ33" s="181" t="s">
        <v>894</v>
      </c>
    </row>
    <row r="34" s="22" customFormat="1" spans="1:62">
      <c r="A34" s="24">
        <f>tblIndicators!A27</f>
        <v>26</v>
      </c>
      <c r="B34" s="24"/>
      <c r="C34" s="24"/>
      <c r="D34" s="52"/>
      <c r="E34" s="52"/>
      <c r="F34" s="52"/>
      <c r="G34" s="52"/>
      <c r="H34" s="52"/>
      <c r="I34" s="52"/>
      <c r="J34" s="52"/>
      <c r="K34" s="54"/>
      <c r="L34" s="62" t="str">
        <f>tblIndicators!Z27</f>
        <v>2.2.4) Infant mortality (deaths per 1,000 live births)</v>
      </c>
      <c r="M34" s="181" t="s">
        <v>895</v>
      </c>
      <c r="N34" s="181" t="s">
        <v>896</v>
      </c>
      <c r="O34" s="181" t="s">
        <v>897</v>
      </c>
      <c r="P34" s="181" t="s">
        <v>898</v>
      </c>
      <c r="Q34" s="181" t="s">
        <v>899</v>
      </c>
      <c r="R34" s="181" t="s">
        <v>900</v>
      </c>
      <c r="S34" s="181" t="s">
        <v>901</v>
      </c>
      <c r="T34" s="181" t="s">
        <v>902</v>
      </c>
      <c r="U34" s="181" t="s">
        <v>903</v>
      </c>
      <c r="V34" s="181" t="s">
        <v>904</v>
      </c>
      <c r="W34" s="181" t="s">
        <v>785</v>
      </c>
      <c r="X34" s="181" t="s">
        <v>905</v>
      </c>
      <c r="Y34" s="181" t="s">
        <v>906</v>
      </c>
      <c r="Z34" s="181" t="s">
        <v>907</v>
      </c>
      <c r="AA34" s="181" t="s">
        <v>908</v>
      </c>
      <c r="AB34" s="181" t="s">
        <v>909</v>
      </c>
      <c r="AC34" s="181" t="s">
        <v>910</v>
      </c>
      <c r="AD34" s="181" t="s">
        <v>911</v>
      </c>
      <c r="AE34" s="181" t="s">
        <v>911</v>
      </c>
      <c r="AF34" s="181" t="s">
        <v>911</v>
      </c>
      <c r="AG34" s="181" t="s">
        <v>912</v>
      </c>
      <c r="AH34" s="181"/>
      <c r="AI34" s="181" t="s">
        <v>912</v>
      </c>
      <c r="AJ34" s="181" t="s">
        <v>832</v>
      </c>
      <c r="AK34" s="181" t="s">
        <v>913</v>
      </c>
      <c r="AL34" s="181" t="s">
        <v>914</v>
      </c>
      <c r="AM34" s="181" t="s">
        <v>915</v>
      </c>
      <c r="AN34" s="181" t="s">
        <v>916</v>
      </c>
      <c r="AO34" s="181" t="s">
        <v>875</v>
      </c>
      <c r="AP34" s="181" t="s">
        <v>785</v>
      </c>
      <c r="AQ34" s="181" t="s">
        <v>917</v>
      </c>
      <c r="AR34" s="181" t="s">
        <v>918</v>
      </c>
      <c r="AS34" s="181" t="s">
        <v>785</v>
      </c>
      <c r="AT34" s="181" t="s">
        <v>840</v>
      </c>
      <c r="AU34" s="181" t="s">
        <v>919</v>
      </c>
      <c r="AV34" s="181" t="s">
        <v>920</v>
      </c>
      <c r="AW34" s="181" t="s">
        <v>921</v>
      </c>
      <c r="AX34" s="181" t="s">
        <v>922</v>
      </c>
      <c r="AY34" s="181" t="s">
        <v>923</v>
      </c>
      <c r="AZ34" s="181" t="s">
        <v>924</v>
      </c>
      <c r="BA34" s="181" t="s">
        <v>925</v>
      </c>
      <c r="BB34" s="181" t="s">
        <v>926</v>
      </c>
      <c r="BC34" s="181" t="s">
        <v>927</v>
      </c>
      <c r="BD34" s="181" t="s">
        <v>928</v>
      </c>
      <c r="BE34" s="181" t="s">
        <v>929</v>
      </c>
      <c r="BF34" s="181" t="s">
        <v>815</v>
      </c>
      <c r="BG34" s="181" t="s">
        <v>930</v>
      </c>
      <c r="BH34" s="181" t="s">
        <v>931</v>
      </c>
      <c r="BI34" s="181" t="s">
        <v>932</v>
      </c>
      <c r="BJ34" s="181" t="s">
        <v>933</v>
      </c>
    </row>
    <row r="35" s="22" customFormat="1" spans="1:62">
      <c r="A35" s="24">
        <f>tblIndicators!A28</f>
        <v>27</v>
      </c>
      <c r="B35" s="24"/>
      <c r="C35" s="24"/>
      <c r="D35" s="52"/>
      <c r="E35" s="52"/>
      <c r="F35" s="52"/>
      <c r="G35" s="52"/>
      <c r="H35" s="52"/>
      <c r="I35" s="52"/>
      <c r="J35" s="52"/>
      <c r="K35" s="54"/>
      <c r="L35" s="62" t="str">
        <f>tblIndicators!Z28</f>
        <v>2.2.5) Cancer mortality rate ( Cancer deaths per 100,000)</v>
      </c>
      <c r="M35" s="181" t="s">
        <v>934</v>
      </c>
      <c r="N35" s="181" t="s">
        <v>935</v>
      </c>
      <c r="O35" s="181" t="s">
        <v>936</v>
      </c>
      <c r="P35" s="181" t="s">
        <v>936</v>
      </c>
      <c r="Q35" s="181" t="s">
        <v>934</v>
      </c>
      <c r="R35" s="181" t="s">
        <v>937</v>
      </c>
      <c r="S35" s="181" t="s">
        <v>938</v>
      </c>
      <c r="T35" s="181" t="s">
        <v>939</v>
      </c>
      <c r="U35" s="181" t="s">
        <v>940</v>
      </c>
      <c r="V35" s="181" t="s">
        <v>941</v>
      </c>
      <c r="W35" s="181" t="s">
        <v>942</v>
      </c>
      <c r="X35" s="181" t="s">
        <v>942</v>
      </c>
      <c r="Y35" s="181" t="s">
        <v>943</v>
      </c>
      <c r="Z35" s="181" t="s">
        <v>944</v>
      </c>
      <c r="AA35" s="181" t="s">
        <v>945</v>
      </c>
      <c r="AB35" s="181" t="s">
        <v>946</v>
      </c>
      <c r="AC35" s="181" t="s">
        <v>947</v>
      </c>
      <c r="AD35" s="181" t="s">
        <v>948</v>
      </c>
      <c r="AE35" s="181" t="s">
        <v>942</v>
      </c>
      <c r="AF35" s="181" t="s">
        <v>949</v>
      </c>
      <c r="AG35" s="181" t="s">
        <v>942</v>
      </c>
      <c r="AH35" s="181" t="s">
        <v>950</v>
      </c>
      <c r="AI35" s="181" t="s">
        <v>942</v>
      </c>
      <c r="AJ35" s="181" t="s">
        <v>942</v>
      </c>
      <c r="AK35" s="181" t="s">
        <v>951</v>
      </c>
      <c r="AL35" s="181" t="s">
        <v>942</v>
      </c>
      <c r="AM35" s="181" t="s">
        <v>942</v>
      </c>
      <c r="AN35" s="181" t="s">
        <v>798</v>
      </c>
      <c r="AO35" s="181" t="s">
        <v>952</v>
      </c>
      <c r="AP35" s="181" t="s">
        <v>942</v>
      </c>
      <c r="AQ35" s="181" t="s">
        <v>953</v>
      </c>
      <c r="AR35" s="181" t="s">
        <v>954</v>
      </c>
      <c r="AS35" s="181" t="s">
        <v>955</v>
      </c>
      <c r="AT35" s="181" t="s">
        <v>934</v>
      </c>
      <c r="AU35" s="181" t="s">
        <v>942</v>
      </c>
      <c r="AV35" s="181" t="s">
        <v>942</v>
      </c>
      <c r="AW35" s="181" t="s">
        <v>942</v>
      </c>
      <c r="AX35" s="181" t="s">
        <v>922</v>
      </c>
      <c r="AY35" s="181" t="s">
        <v>956</v>
      </c>
      <c r="AZ35" s="181" t="s">
        <v>957</v>
      </c>
      <c r="BA35" s="181" t="s">
        <v>942</v>
      </c>
      <c r="BB35" s="181" t="s">
        <v>958</v>
      </c>
      <c r="BC35" s="181" t="s">
        <v>959</v>
      </c>
      <c r="BD35" s="181" t="s">
        <v>960</v>
      </c>
      <c r="BE35" s="181" t="s">
        <v>942</v>
      </c>
      <c r="BF35" s="181" t="s">
        <v>961</v>
      </c>
      <c r="BG35" s="181" t="s">
        <v>961</v>
      </c>
      <c r="BH35" s="181" t="s">
        <v>936</v>
      </c>
      <c r="BI35" s="181" t="s">
        <v>942</v>
      </c>
      <c r="BJ35" s="181" t="s">
        <v>962</v>
      </c>
    </row>
    <row r="36" s="22" customFormat="1" spans="1:62">
      <c r="A36" s="24">
        <f>tblIndicators!A29</f>
        <v>28</v>
      </c>
      <c r="B36" s="24"/>
      <c r="C36" s="24"/>
      <c r="D36" s="52"/>
      <c r="E36" s="52"/>
      <c r="F36" s="52"/>
      <c r="G36" s="52"/>
      <c r="H36" s="52"/>
      <c r="I36" s="52"/>
      <c r="J36" s="52"/>
      <c r="K36" s="54"/>
      <c r="L36" s="62" t="str">
        <f>tblIndicators!Z29</f>
        <v>3) INFRASTRUCTURE SAFETY</v>
      </c>
      <c r="M36" s="181" t="s">
        <v>424</v>
      </c>
      <c r="N36" s="181" t="s">
        <v>424</v>
      </c>
      <c r="O36" s="181" t="s">
        <v>424</v>
      </c>
      <c r="P36" s="181" t="s">
        <v>424</v>
      </c>
      <c r="Q36" s="181" t="s">
        <v>424</v>
      </c>
      <c r="R36" s="181" t="s">
        <v>424</v>
      </c>
      <c r="S36" s="181" t="s">
        <v>424</v>
      </c>
      <c r="T36" s="181" t="s">
        <v>424</v>
      </c>
      <c r="U36" s="181" t="s">
        <v>424</v>
      </c>
      <c r="V36" s="181" t="s">
        <v>424</v>
      </c>
      <c r="W36" s="181" t="s">
        <v>424</v>
      </c>
      <c r="X36" s="181" t="s">
        <v>424</v>
      </c>
      <c r="Y36" s="181" t="s">
        <v>424</v>
      </c>
      <c r="Z36" s="181" t="s">
        <v>424</v>
      </c>
      <c r="AA36" s="181" t="s">
        <v>424</v>
      </c>
      <c r="AB36" s="181" t="s">
        <v>424</v>
      </c>
      <c r="AC36" s="181" t="s">
        <v>424</v>
      </c>
      <c r="AD36" s="181" t="s">
        <v>424</v>
      </c>
      <c r="AE36" s="181" t="s">
        <v>424</v>
      </c>
      <c r="AF36" s="181" t="s">
        <v>424</v>
      </c>
      <c r="AG36" s="181" t="s">
        <v>424</v>
      </c>
      <c r="AH36" s="181" t="s">
        <v>424</v>
      </c>
      <c r="AI36" s="181" t="s">
        <v>424</v>
      </c>
      <c r="AJ36" s="181" t="s">
        <v>424</v>
      </c>
      <c r="AK36" s="181" t="s">
        <v>424</v>
      </c>
      <c r="AL36" s="181" t="s">
        <v>424</v>
      </c>
      <c r="AM36" s="181" t="s">
        <v>424</v>
      </c>
      <c r="AN36" s="181" t="s">
        <v>424</v>
      </c>
      <c r="AO36" s="181" t="s">
        <v>424</v>
      </c>
      <c r="AP36" s="181" t="s">
        <v>424</v>
      </c>
      <c r="AQ36" s="181" t="s">
        <v>424</v>
      </c>
      <c r="AR36" s="181" t="s">
        <v>424</v>
      </c>
      <c r="AS36" s="181" t="s">
        <v>424</v>
      </c>
      <c r="AT36" s="181" t="s">
        <v>424</v>
      </c>
      <c r="AU36" s="181" t="s">
        <v>424</v>
      </c>
      <c r="AV36" s="181" t="s">
        <v>424</v>
      </c>
      <c r="AW36" s="181" t="s">
        <v>424</v>
      </c>
      <c r="AX36" s="181" t="s">
        <v>424</v>
      </c>
      <c r="AY36" s="181" t="s">
        <v>424</v>
      </c>
      <c r="AZ36" s="181" t="s">
        <v>424</v>
      </c>
      <c r="BA36" s="181" t="s">
        <v>424</v>
      </c>
      <c r="BB36" s="181" t="s">
        <v>424</v>
      </c>
      <c r="BC36" s="181" t="s">
        <v>424</v>
      </c>
      <c r="BD36" s="181" t="s">
        <v>424</v>
      </c>
      <c r="BE36" s="181" t="s">
        <v>424</v>
      </c>
      <c r="BF36" s="181" t="s">
        <v>424</v>
      </c>
      <c r="BG36" s="181" t="s">
        <v>424</v>
      </c>
      <c r="BH36" s="181" t="s">
        <v>424</v>
      </c>
      <c r="BI36" s="181" t="s">
        <v>424</v>
      </c>
      <c r="BJ36" s="181" t="s">
        <v>424</v>
      </c>
    </row>
    <row r="37" s="22" customFormat="1" spans="1:62">
      <c r="A37" s="24">
        <f>tblIndicators!A30</f>
        <v>29</v>
      </c>
      <c r="B37" s="24"/>
      <c r="C37" s="24"/>
      <c r="D37" s="52"/>
      <c r="E37" s="52"/>
      <c r="F37" s="52"/>
      <c r="G37" s="52"/>
      <c r="H37" s="52"/>
      <c r="I37" s="52"/>
      <c r="J37" s="52"/>
      <c r="K37" s="54"/>
      <c r="L37" s="62" t="str">
        <f>tblIndicators!Z30</f>
        <v>3.1) Infrastructure Safety (Inputs)</v>
      </c>
      <c r="M37" s="181"/>
      <c r="N37" s="181"/>
      <c r="O37" s="181"/>
      <c r="P37" s="181"/>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181"/>
      <c r="AN37" s="181"/>
      <c r="AO37" s="181"/>
      <c r="AP37" s="181"/>
      <c r="AQ37" s="181"/>
      <c r="AR37" s="181"/>
      <c r="AS37" s="181"/>
      <c r="AT37" s="181"/>
      <c r="AU37" s="181"/>
      <c r="AV37" s="181"/>
      <c r="AW37" s="181"/>
      <c r="AX37" s="181"/>
      <c r="AY37" s="181"/>
      <c r="AZ37" s="181"/>
      <c r="BA37" s="181"/>
      <c r="BB37" s="181"/>
      <c r="BC37" s="181"/>
      <c r="BD37" s="181"/>
      <c r="BE37" s="181"/>
      <c r="BF37" s="181"/>
      <c r="BG37" s="181"/>
      <c r="BH37" s="181"/>
      <c r="BI37" s="181"/>
      <c r="BJ37" s="181"/>
    </row>
    <row r="38" s="22" customFormat="1" spans="1:62">
      <c r="A38" s="24">
        <f>tblIndicators!A31</f>
        <v>30</v>
      </c>
      <c r="B38" s="24"/>
      <c r="C38" s="24"/>
      <c r="D38" s="52"/>
      <c r="E38" s="52"/>
      <c r="F38" s="52"/>
      <c r="G38" s="52"/>
      <c r="H38" s="52"/>
      <c r="I38" s="52"/>
      <c r="J38" s="52"/>
      <c r="K38" s="54"/>
      <c r="L38" s="62" t="str">
        <f>tblIndicators!Z31</f>
        <v>3.1.1) Enforcement of transport safety</v>
      </c>
      <c r="M38" s="181" t="s">
        <v>478</v>
      </c>
      <c r="N38" s="181" t="s">
        <v>963</v>
      </c>
      <c r="O38" s="181" t="s">
        <v>478</v>
      </c>
      <c r="P38" s="181"/>
      <c r="Q38" s="181"/>
      <c r="R38" s="181" t="s">
        <v>964</v>
      </c>
      <c r="S38" s="181" t="s">
        <v>965</v>
      </c>
      <c r="T38" s="181" t="s">
        <v>966</v>
      </c>
      <c r="U38" s="181" t="s">
        <v>967</v>
      </c>
      <c r="V38" s="181" t="s">
        <v>968</v>
      </c>
      <c r="W38" s="181" t="s">
        <v>969</v>
      </c>
      <c r="X38" s="181" t="s">
        <v>970</v>
      </c>
      <c r="Y38" s="181" t="s">
        <v>478</v>
      </c>
      <c r="Z38" s="181" t="s">
        <v>971</v>
      </c>
      <c r="AA38" s="181" t="s">
        <v>972</v>
      </c>
      <c r="AB38" s="181" t="s">
        <v>973</v>
      </c>
      <c r="AC38" s="181"/>
      <c r="AD38" s="181" t="s">
        <v>974</v>
      </c>
      <c r="AE38" s="181" t="s">
        <v>478</v>
      </c>
      <c r="AF38" s="181" t="s">
        <v>975</v>
      </c>
      <c r="AG38" s="181" t="s">
        <v>976</v>
      </c>
      <c r="AH38" s="181"/>
      <c r="AI38" s="181" t="s">
        <v>977</v>
      </c>
      <c r="AJ38" s="181" t="s">
        <v>978</v>
      </c>
      <c r="AK38" s="181" t="s">
        <v>979</v>
      </c>
      <c r="AL38" s="181" t="s">
        <v>980</v>
      </c>
      <c r="AM38" s="181"/>
      <c r="AN38" s="181"/>
      <c r="AO38" s="181" t="s">
        <v>981</v>
      </c>
      <c r="AP38" s="181" t="s">
        <v>982</v>
      </c>
      <c r="AQ38" s="181" t="s">
        <v>983</v>
      </c>
      <c r="AR38" s="181" t="s">
        <v>984</v>
      </c>
      <c r="AS38" s="181" t="s">
        <v>985</v>
      </c>
      <c r="AT38" s="181" t="s">
        <v>986</v>
      </c>
      <c r="AU38" s="181" t="s">
        <v>478</v>
      </c>
      <c r="AV38" s="181" t="s">
        <v>987</v>
      </c>
      <c r="AW38" s="181" t="s">
        <v>988</v>
      </c>
      <c r="AX38" s="181"/>
      <c r="AY38" s="181"/>
      <c r="AZ38" s="181" t="s">
        <v>989</v>
      </c>
      <c r="BA38" s="181" t="s">
        <v>478</v>
      </c>
      <c r="BB38" s="181"/>
      <c r="BC38" s="181" t="s">
        <v>990</v>
      </c>
      <c r="BD38" s="181" t="s">
        <v>991</v>
      </c>
      <c r="BE38" s="181" t="s">
        <v>992</v>
      </c>
      <c r="BF38" s="181" t="s">
        <v>541</v>
      </c>
      <c r="BG38" s="181"/>
      <c r="BH38" s="181"/>
      <c r="BI38" s="181" t="s">
        <v>993</v>
      </c>
      <c r="BJ38" s="181"/>
    </row>
    <row r="39" s="22" customFormat="1" spans="1:62">
      <c r="A39" s="24">
        <f>tblIndicators!A32</f>
        <v>31</v>
      </c>
      <c r="B39" s="24"/>
      <c r="C39" s="24"/>
      <c r="D39" s="52"/>
      <c r="E39" s="52"/>
      <c r="F39" s="52"/>
      <c r="G39" s="52"/>
      <c r="H39" s="52"/>
      <c r="I39" s="52"/>
      <c r="J39" s="52"/>
      <c r="K39" s="54"/>
      <c r="L39" s="62" t="str">
        <f>tblIndicators!Z32</f>
        <v>3.1.2) Pedestrian friendliness</v>
      </c>
      <c r="M39" s="181" t="s">
        <v>994</v>
      </c>
      <c r="N39" s="181" t="s">
        <v>995</v>
      </c>
      <c r="O39" s="181" t="s">
        <v>996</v>
      </c>
      <c r="P39" s="181" t="s">
        <v>997</v>
      </c>
      <c r="Q39" s="181" t="s">
        <v>998</v>
      </c>
      <c r="R39" s="181" t="s">
        <v>999</v>
      </c>
      <c r="S39" s="181" t="s">
        <v>1000</v>
      </c>
      <c r="T39" s="181" t="s">
        <v>1001</v>
      </c>
      <c r="U39" s="181" t="s">
        <v>1002</v>
      </c>
      <c r="V39" s="181" t="s">
        <v>1003</v>
      </c>
      <c r="W39" s="181" t="s">
        <v>1004</v>
      </c>
      <c r="X39" s="181" t="s">
        <v>1005</v>
      </c>
      <c r="Y39" s="181" t="s">
        <v>1006</v>
      </c>
      <c r="Z39" s="181" t="s">
        <v>1007</v>
      </c>
      <c r="AA39" s="181" t="s">
        <v>1008</v>
      </c>
      <c r="AB39" s="181" t="s">
        <v>1009</v>
      </c>
      <c r="AC39" s="181" t="s">
        <v>1010</v>
      </c>
      <c r="AD39" s="181" t="s">
        <v>1011</v>
      </c>
      <c r="AE39" s="181" t="s">
        <v>1012</v>
      </c>
      <c r="AF39" s="181" t="s">
        <v>1013</v>
      </c>
      <c r="AG39" s="181" t="s">
        <v>1014</v>
      </c>
      <c r="AH39" s="181" t="s">
        <v>1015</v>
      </c>
      <c r="AI39" s="181" t="s">
        <v>1016</v>
      </c>
      <c r="AJ39" s="181" t="s">
        <v>1017</v>
      </c>
      <c r="AK39" s="181" t="s">
        <v>1018</v>
      </c>
      <c r="AL39" s="181"/>
      <c r="AM39" s="181" t="s">
        <v>1019</v>
      </c>
      <c r="AN39" s="181" t="s">
        <v>1020</v>
      </c>
      <c r="AO39" s="181" t="s">
        <v>1021</v>
      </c>
      <c r="AP39" s="181" t="s">
        <v>1022</v>
      </c>
      <c r="AQ39" s="181" t="s">
        <v>1023</v>
      </c>
      <c r="AR39" s="181" t="s">
        <v>1024</v>
      </c>
      <c r="AS39" s="181" t="s">
        <v>1025</v>
      </c>
      <c r="AT39" s="181" t="s">
        <v>1026</v>
      </c>
      <c r="AU39" s="181" t="s">
        <v>1027</v>
      </c>
      <c r="AV39" s="181" t="s">
        <v>1028</v>
      </c>
      <c r="AW39" s="181" t="s">
        <v>1029</v>
      </c>
      <c r="AX39" s="181" t="s">
        <v>1030</v>
      </c>
      <c r="AY39" s="181" t="s">
        <v>1031</v>
      </c>
      <c r="AZ39" s="181" t="s">
        <v>1032</v>
      </c>
      <c r="BA39" s="181" t="s">
        <v>1033</v>
      </c>
      <c r="BB39" s="181" t="s">
        <v>1034</v>
      </c>
      <c r="BC39" s="181" t="s">
        <v>1035</v>
      </c>
      <c r="BD39" s="181" t="s">
        <v>1036</v>
      </c>
      <c r="BE39" s="181" t="s">
        <v>1037</v>
      </c>
      <c r="BF39" s="181" t="s">
        <v>1038</v>
      </c>
      <c r="BG39" s="181" t="s">
        <v>1039</v>
      </c>
      <c r="BH39" s="181" t="s">
        <v>1040</v>
      </c>
      <c r="BI39" s="181" t="s">
        <v>1041</v>
      </c>
      <c r="BJ39" s="181" t="s">
        <v>1042</v>
      </c>
    </row>
    <row r="40" s="22" customFormat="1" spans="1:62">
      <c r="A40" s="24">
        <f>tblIndicators!A33</f>
        <v>32</v>
      </c>
      <c r="B40" s="24"/>
      <c r="C40" s="24"/>
      <c r="D40" s="52"/>
      <c r="E40" s="52"/>
      <c r="F40" s="52"/>
      <c r="G40" s="52"/>
      <c r="H40" s="52"/>
      <c r="I40" s="52"/>
      <c r="J40" s="52"/>
      <c r="K40" s="54"/>
      <c r="L40" s="62" t="str">
        <f>tblIndicators!Z33</f>
        <v>3.1.3) Quality of road infrastructure</v>
      </c>
      <c r="M40" s="181"/>
      <c r="N40" s="181"/>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181"/>
    </row>
    <row r="41" s="22" customFormat="1" spans="1:62">
      <c r="A41" s="24">
        <f>tblIndicators!A34</f>
        <v>33</v>
      </c>
      <c r="B41" s="24"/>
      <c r="C41" s="24"/>
      <c r="D41" s="52"/>
      <c r="E41" s="52"/>
      <c r="F41" s="52"/>
      <c r="G41" s="52"/>
      <c r="H41" s="52"/>
      <c r="I41" s="52"/>
      <c r="J41" s="52"/>
      <c r="K41" s="54"/>
      <c r="L41" s="62" t="str">
        <f>tblIndicators!Z34</f>
        <v>3.1.4) Quality of electricity infrastructure</v>
      </c>
      <c r="M41" s="181"/>
      <c r="N41" s="181"/>
      <c r="O41" s="181"/>
      <c r="P41" s="181"/>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AY41" s="181"/>
      <c r="AZ41" s="181"/>
      <c r="BA41" s="181"/>
      <c r="BB41" s="181"/>
      <c r="BC41" s="181"/>
      <c r="BD41" s="181"/>
      <c r="BE41" s="181"/>
      <c r="BF41" s="181"/>
      <c r="BG41" s="181"/>
      <c r="BH41" s="181"/>
      <c r="BI41" s="181"/>
      <c r="BJ41" s="181"/>
    </row>
    <row r="42" s="22" customFormat="1" spans="1:62">
      <c r="A42" s="24">
        <f>tblIndicators!A35</f>
        <v>34</v>
      </c>
      <c r="B42" s="24"/>
      <c r="C42" s="24"/>
      <c r="D42" s="52"/>
      <c r="E42" s="52"/>
      <c r="F42" s="52"/>
      <c r="G42" s="52"/>
      <c r="H42" s="52"/>
      <c r="I42" s="52"/>
      <c r="J42" s="52"/>
      <c r="K42" s="54"/>
      <c r="L42" s="62" t="str">
        <f>tblIndicators!Z35</f>
        <v>3.1.5) Disaster Management/Business Continuity Plan</v>
      </c>
      <c r="M42" s="181"/>
      <c r="N42" s="181"/>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181"/>
      <c r="AR42" s="181"/>
      <c r="AS42" s="181"/>
      <c r="AT42" s="181"/>
      <c r="AU42" s="181"/>
      <c r="AV42" s="181"/>
      <c r="AW42" s="181"/>
      <c r="AX42" s="181"/>
      <c r="AY42" s="181"/>
      <c r="AZ42" s="181"/>
      <c r="BA42" s="181"/>
      <c r="BB42" s="181"/>
      <c r="BC42" s="181"/>
      <c r="BD42" s="181"/>
      <c r="BE42" s="181"/>
      <c r="BF42" s="181"/>
      <c r="BG42" s="181"/>
      <c r="BH42" s="181"/>
      <c r="BI42" s="181"/>
      <c r="BJ42" s="181"/>
    </row>
    <row r="43" s="22" customFormat="1" spans="1:62">
      <c r="A43" s="24">
        <f>tblIndicators!A36</f>
        <v>35</v>
      </c>
      <c r="B43" s="24"/>
      <c r="C43" s="24"/>
      <c r="D43" s="52"/>
      <c r="E43" s="52"/>
      <c r="F43" s="52"/>
      <c r="G43" s="52"/>
      <c r="H43" s="52"/>
      <c r="I43" s="52"/>
      <c r="J43" s="52"/>
      <c r="K43" s="54"/>
      <c r="L43" s="62" t="str">
        <f>tblIndicators!Z36</f>
        <v>3.2) Infrastructure Safety (Outputs)</v>
      </c>
      <c r="M43" s="181" t="s">
        <v>424</v>
      </c>
      <c r="N43" s="181" t="s">
        <v>424</v>
      </c>
      <c r="O43" s="181" t="s">
        <v>424</v>
      </c>
      <c r="P43" s="181" t="s">
        <v>424</v>
      </c>
      <c r="Q43" s="181" t="s">
        <v>424</v>
      </c>
      <c r="R43" s="181" t="s">
        <v>424</v>
      </c>
      <c r="S43" s="181" t="s">
        <v>424</v>
      </c>
      <c r="T43" s="181" t="s">
        <v>424</v>
      </c>
      <c r="U43" s="181" t="s">
        <v>424</v>
      </c>
      <c r="V43" s="181" t="s">
        <v>424</v>
      </c>
      <c r="W43" s="181" t="s">
        <v>424</v>
      </c>
      <c r="X43" s="181" t="s">
        <v>424</v>
      </c>
      <c r="Y43" s="181" t="s">
        <v>424</v>
      </c>
      <c r="Z43" s="181" t="s">
        <v>424</v>
      </c>
      <c r="AA43" s="181" t="s">
        <v>424</v>
      </c>
      <c r="AB43" s="181" t="s">
        <v>424</v>
      </c>
      <c r="AC43" s="181" t="s">
        <v>424</v>
      </c>
      <c r="AD43" s="181" t="s">
        <v>424</v>
      </c>
      <c r="AE43" s="181" t="s">
        <v>424</v>
      </c>
      <c r="AF43" s="181" t="s">
        <v>424</v>
      </c>
      <c r="AG43" s="181" t="s">
        <v>424</v>
      </c>
      <c r="AH43" s="181" t="s">
        <v>424</v>
      </c>
      <c r="AI43" s="181" t="s">
        <v>424</v>
      </c>
      <c r="AJ43" s="181" t="s">
        <v>424</v>
      </c>
      <c r="AK43" s="181" t="s">
        <v>424</v>
      </c>
      <c r="AL43" s="181" t="s">
        <v>424</v>
      </c>
      <c r="AM43" s="181" t="s">
        <v>424</v>
      </c>
      <c r="AN43" s="181" t="s">
        <v>424</v>
      </c>
      <c r="AO43" s="181" t="s">
        <v>424</v>
      </c>
      <c r="AP43" s="181" t="s">
        <v>424</v>
      </c>
      <c r="AQ43" s="181" t="s">
        <v>424</v>
      </c>
      <c r="AR43" s="181" t="s">
        <v>424</v>
      </c>
      <c r="AS43" s="181" t="s">
        <v>424</v>
      </c>
      <c r="AT43" s="181" t="s">
        <v>424</v>
      </c>
      <c r="AU43" s="181" t="s">
        <v>424</v>
      </c>
      <c r="AV43" s="181" t="s">
        <v>424</v>
      </c>
      <c r="AW43" s="181" t="s">
        <v>424</v>
      </c>
      <c r="AX43" s="181" t="s">
        <v>424</v>
      </c>
      <c r="AY43" s="181" t="s">
        <v>424</v>
      </c>
      <c r="AZ43" s="181" t="s">
        <v>424</v>
      </c>
      <c r="BA43" s="181" t="s">
        <v>424</v>
      </c>
      <c r="BB43" s="181" t="s">
        <v>424</v>
      </c>
      <c r="BC43" s="181" t="s">
        <v>424</v>
      </c>
      <c r="BD43" s="181" t="s">
        <v>424</v>
      </c>
      <c r="BE43" s="181" t="s">
        <v>424</v>
      </c>
      <c r="BF43" s="181" t="s">
        <v>424</v>
      </c>
      <c r="BG43" s="181" t="s">
        <v>424</v>
      </c>
      <c r="BH43" s="181" t="s">
        <v>424</v>
      </c>
      <c r="BI43" s="181" t="s">
        <v>424</v>
      </c>
      <c r="BJ43" s="181" t="s">
        <v>424</v>
      </c>
    </row>
    <row r="44" s="22" customFormat="1" spans="1:62">
      <c r="A44" s="24">
        <f>tblIndicators!A37</f>
        <v>36</v>
      </c>
      <c r="B44" s="24"/>
      <c r="C44" s="24"/>
      <c r="D44" s="52"/>
      <c r="E44" s="52"/>
      <c r="F44" s="52"/>
      <c r="G44" s="52"/>
      <c r="H44" s="52"/>
      <c r="I44" s="52"/>
      <c r="J44" s="52"/>
      <c r="K44" s="54"/>
      <c r="L44" s="62" t="str">
        <f>tblIndicators!Z37</f>
        <v>3.2.1) Death from natural disasters</v>
      </c>
      <c r="M44" s="181" t="s">
        <v>1043</v>
      </c>
      <c r="N44" s="181" t="s">
        <v>1044</v>
      </c>
      <c r="O44" s="181" t="s">
        <v>1045</v>
      </c>
      <c r="P44" s="181" t="s">
        <v>1046</v>
      </c>
      <c r="Q44" s="181" t="s">
        <v>1046</v>
      </c>
      <c r="R44" s="181" t="s">
        <v>1047</v>
      </c>
      <c r="S44" s="181" t="s">
        <v>1048</v>
      </c>
      <c r="T44" s="181" t="s">
        <v>1049</v>
      </c>
      <c r="U44" s="181" t="s">
        <v>1049</v>
      </c>
      <c r="V44" s="181" t="s">
        <v>1050</v>
      </c>
      <c r="W44" s="181" t="s">
        <v>1051</v>
      </c>
      <c r="X44" s="181" t="s">
        <v>1052</v>
      </c>
      <c r="Y44" s="181" t="s">
        <v>1053</v>
      </c>
      <c r="Z44" s="181" t="s">
        <v>1047</v>
      </c>
      <c r="AA44" s="181" t="s">
        <v>1047</v>
      </c>
      <c r="AB44" s="181" t="s">
        <v>1054</v>
      </c>
      <c r="AC44" s="181" t="s">
        <v>1055</v>
      </c>
      <c r="AD44" s="181" t="s">
        <v>541</v>
      </c>
      <c r="AE44" s="181" t="s">
        <v>1056</v>
      </c>
      <c r="AF44" s="181" t="s">
        <v>1057</v>
      </c>
      <c r="AG44" s="181" t="s">
        <v>1058</v>
      </c>
      <c r="AH44" s="181" t="s">
        <v>1058</v>
      </c>
      <c r="AI44" s="181" t="s">
        <v>1057</v>
      </c>
      <c r="AJ44" s="181" t="s">
        <v>1059</v>
      </c>
      <c r="AK44" s="181" t="s">
        <v>1059</v>
      </c>
      <c r="AL44" s="181" t="s">
        <v>1060</v>
      </c>
      <c r="AM44" s="181" t="s">
        <v>1061</v>
      </c>
      <c r="AN44" s="181" t="s">
        <v>1062</v>
      </c>
      <c r="AO44" s="181" t="s">
        <v>1063</v>
      </c>
      <c r="AP44" s="181" t="s">
        <v>1064</v>
      </c>
      <c r="AQ44" s="181" t="s">
        <v>1065</v>
      </c>
      <c r="AR44" s="181" t="s">
        <v>1066</v>
      </c>
      <c r="AS44" s="181" t="s">
        <v>1054</v>
      </c>
      <c r="AT44" s="181" t="s">
        <v>1067</v>
      </c>
      <c r="AU44" s="181" t="s">
        <v>1068</v>
      </c>
      <c r="AV44" s="181" t="s">
        <v>1069</v>
      </c>
      <c r="AW44" s="181" t="s">
        <v>1070</v>
      </c>
      <c r="AX44" s="181" t="s">
        <v>1068</v>
      </c>
      <c r="AY44" s="181" t="s">
        <v>1071</v>
      </c>
      <c r="AZ44" s="181" t="s">
        <v>1071</v>
      </c>
      <c r="BA44" s="181" t="s">
        <v>1072</v>
      </c>
      <c r="BB44" s="181" t="s">
        <v>1073</v>
      </c>
      <c r="BC44" s="181" t="s">
        <v>1073</v>
      </c>
      <c r="BD44" s="181" t="s">
        <v>541</v>
      </c>
      <c r="BE44" s="181" t="s">
        <v>1074</v>
      </c>
      <c r="BF44" s="181" t="s">
        <v>1075</v>
      </c>
      <c r="BG44" s="181" t="s">
        <v>1075</v>
      </c>
      <c r="BH44" s="181" t="s">
        <v>1076</v>
      </c>
      <c r="BI44" s="181" t="s">
        <v>1077</v>
      </c>
      <c r="BJ44" s="181" t="s">
        <v>1078</v>
      </c>
    </row>
    <row r="45" s="22" customFormat="1" spans="1:62">
      <c r="A45" s="24">
        <f>tblIndicators!A38</f>
        <v>37</v>
      </c>
      <c r="B45" s="24"/>
      <c r="C45" s="24"/>
      <c r="D45" s="52"/>
      <c r="E45" s="52"/>
      <c r="F45" s="52"/>
      <c r="G45" s="52"/>
      <c r="H45" s="52"/>
      <c r="I45" s="52"/>
      <c r="J45" s="52"/>
      <c r="K45" s="54"/>
      <c r="L45" s="62" t="str">
        <f>tblIndicators!Z38</f>
        <v>3.2.2) Frequency of vehicular accidents</v>
      </c>
      <c r="M45" s="181" t="s">
        <v>1079</v>
      </c>
      <c r="N45" s="181" t="s">
        <v>1080</v>
      </c>
      <c r="O45" s="181" t="s">
        <v>1081</v>
      </c>
      <c r="P45" s="181" t="s">
        <v>1082</v>
      </c>
      <c r="Q45" s="181" t="s">
        <v>1083</v>
      </c>
      <c r="R45" s="181" t="s">
        <v>1084</v>
      </c>
      <c r="S45" s="181" t="s">
        <v>1085</v>
      </c>
      <c r="T45" s="181" t="s">
        <v>1086</v>
      </c>
      <c r="U45" s="181" t="s">
        <v>1087</v>
      </c>
      <c r="V45" s="181" t="s">
        <v>1088</v>
      </c>
      <c r="W45" s="181" t="s">
        <v>1089</v>
      </c>
      <c r="X45" s="181" t="s">
        <v>1090</v>
      </c>
      <c r="Y45" s="181" t="s">
        <v>1091</v>
      </c>
      <c r="Z45" s="181" t="s">
        <v>1092</v>
      </c>
      <c r="AA45" s="181" t="s">
        <v>1093</v>
      </c>
      <c r="AB45" s="181" t="s">
        <v>1094</v>
      </c>
      <c r="AC45" s="181" t="s">
        <v>1095</v>
      </c>
      <c r="AD45" s="181" t="s">
        <v>1096</v>
      </c>
      <c r="AE45" s="181"/>
      <c r="AF45" s="181" t="s">
        <v>1097</v>
      </c>
      <c r="AG45" s="181" t="s">
        <v>1098</v>
      </c>
      <c r="AH45" s="181" t="s">
        <v>1099</v>
      </c>
      <c r="AI45" s="181" t="s">
        <v>1100</v>
      </c>
      <c r="AJ45" s="181" t="s">
        <v>1101</v>
      </c>
      <c r="AK45" s="181" t="s">
        <v>1101</v>
      </c>
      <c r="AL45" s="181"/>
      <c r="AM45" s="181" t="s">
        <v>1102</v>
      </c>
      <c r="AN45" s="181" t="s">
        <v>1103</v>
      </c>
      <c r="AO45" s="181" t="s">
        <v>1104</v>
      </c>
      <c r="AP45" s="181" t="s">
        <v>1022</v>
      </c>
      <c r="AQ45" s="181" t="s">
        <v>1105</v>
      </c>
      <c r="AR45" s="181" t="s">
        <v>1106</v>
      </c>
      <c r="AS45" s="181" t="s">
        <v>1107</v>
      </c>
      <c r="AT45" s="181" t="s">
        <v>1108</v>
      </c>
      <c r="AU45" s="181" t="s">
        <v>1109</v>
      </c>
      <c r="AV45" s="181" t="s">
        <v>1110</v>
      </c>
      <c r="AW45" s="181" t="s">
        <v>1111</v>
      </c>
      <c r="AX45" s="181" t="s">
        <v>1112</v>
      </c>
      <c r="AY45" s="181" t="s">
        <v>1113</v>
      </c>
      <c r="AZ45" s="181" t="s">
        <v>1114</v>
      </c>
      <c r="BA45" s="181" t="s">
        <v>1115</v>
      </c>
      <c r="BB45" s="181" t="s">
        <v>1116</v>
      </c>
      <c r="BC45" s="181" t="s">
        <v>1117</v>
      </c>
      <c r="BD45" s="181" t="s">
        <v>1118</v>
      </c>
      <c r="BE45" s="181" t="s">
        <v>1119</v>
      </c>
      <c r="BF45" s="181" t="s">
        <v>1120</v>
      </c>
      <c r="BG45" s="181" t="s">
        <v>1120</v>
      </c>
      <c r="BH45" s="181" t="s">
        <v>1121</v>
      </c>
      <c r="BI45" s="181" t="s">
        <v>1122</v>
      </c>
      <c r="BJ45" s="181" t="s">
        <v>1123</v>
      </c>
    </row>
    <row r="46" s="22" customFormat="1" spans="1:62">
      <c r="A46" s="24">
        <f>tblIndicators!A39</f>
        <v>38</v>
      </c>
      <c r="B46" s="24"/>
      <c r="C46" s="24"/>
      <c r="D46" s="52"/>
      <c r="E46" s="52"/>
      <c r="F46" s="52"/>
      <c r="G46" s="52"/>
      <c r="H46" s="52"/>
      <c r="I46" s="52"/>
      <c r="J46" s="52"/>
      <c r="K46" s="54"/>
      <c r="L46" s="62" t="str">
        <f>tblIndicators!Z39</f>
        <v>3.2.3) Frequency of pedestrian deaths</v>
      </c>
      <c r="M46" s="181" t="s">
        <v>1124</v>
      </c>
      <c r="N46" s="181" t="s">
        <v>1125</v>
      </c>
      <c r="O46" s="181" t="s">
        <v>1126</v>
      </c>
      <c r="P46" s="181" t="s">
        <v>1127</v>
      </c>
      <c r="Q46" s="181" t="s">
        <v>1128</v>
      </c>
      <c r="R46" s="181" t="s">
        <v>1129</v>
      </c>
      <c r="S46" s="181" t="s">
        <v>1130</v>
      </c>
      <c r="T46" s="181" t="s">
        <v>1131</v>
      </c>
      <c r="U46" s="181" t="s">
        <v>1132</v>
      </c>
      <c r="V46" s="181" t="s">
        <v>1088</v>
      </c>
      <c r="W46" s="181" t="s">
        <v>1133</v>
      </c>
      <c r="X46" s="181" t="s">
        <v>1134</v>
      </c>
      <c r="Y46" s="181" t="s">
        <v>1135</v>
      </c>
      <c r="Z46" s="181" t="s">
        <v>1092</v>
      </c>
      <c r="AA46" s="181"/>
      <c r="AB46" s="181" t="s">
        <v>1136</v>
      </c>
      <c r="AC46" s="181" t="s">
        <v>1137</v>
      </c>
      <c r="AD46" s="181" t="s">
        <v>1138</v>
      </c>
      <c r="AE46" s="181"/>
      <c r="AF46" s="181" t="s">
        <v>1139</v>
      </c>
      <c r="AG46" s="181" t="s">
        <v>1140</v>
      </c>
      <c r="AH46" s="181" t="s">
        <v>1141</v>
      </c>
      <c r="AI46" s="181"/>
      <c r="AJ46" s="181" t="s">
        <v>1142</v>
      </c>
      <c r="AK46" s="181" t="s">
        <v>1142</v>
      </c>
      <c r="AL46" s="181" t="s">
        <v>1143</v>
      </c>
      <c r="AM46" s="181" t="s">
        <v>1144</v>
      </c>
      <c r="AN46" s="181" t="s">
        <v>1145</v>
      </c>
      <c r="AO46" s="181" t="s">
        <v>1104</v>
      </c>
      <c r="AP46" s="181" t="s">
        <v>1022</v>
      </c>
      <c r="AQ46" s="181" t="s">
        <v>1146</v>
      </c>
      <c r="AR46" s="181" t="s">
        <v>1147</v>
      </c>
      <c r="AS46" s="181" t="s">
        <v>1148</v>
      </c>
      <c r="AT46" s="181" t="s">
        <v>1149</v>
      </c>
      <c r="AU46" s="181" t="s">
        <v>1150</v>
      </c>
      <c r="AV46" s="181" t="s">
        <v>1028</v>
      </c>
      <c r="AW46" s="181" t="s">
        <v>1151</v>
      </c>
      <c r="AX46" s="181" t="s">
        <v>1152</v>
      </c>
      <c r="AY46" s="181" t="s">
        <v>1113</v>
      </c>
      <c r="AZ46" s="181" t="s">
        <v>1153</v>
      </c>
      <c r="BA46" s="181" t="s">
        <v>1154</v>
      </c>
      <c r="BB46" s="181" t="s">
        <v>1155</v>
      </c>
      <c r="BC46" s="181" t="s">
        <v>1117</v>
      </c>
      <c r="BD46" s="181" t="s">
        <v>1118</v>
      </c>
      <c r="BE46" s="181" t="s">
        <v>1156</v>
      </c>
      <c r="BF46" s="181" t="s">
        <v>1157</v>
      </c>
      <c r="BG46" s="181" t="s">
        <v>1158</v>
      </c>
      <c r="BH46" s="181" t="s">
        <v>1159</v>
      </c>
      <c r="BI46" s="181" t="s">
        <v>1160</v>
      </c>
      <c r="BJ46" s="181" t="s">
        <v>1161</v>
      </c>
    </row>
    <row r="47" s="22" customFormat="1" spans="1:62">
      <c r="A47" s="24">
        <f>tblIndicators!A40</f>
        <v>39</v>
      </c>
      <c r="B47" s="24"/>
      <c r="C47" s="24"/>
      <c r="D47" s="52"/>
      <c r="E47" s="52"/>
      <c r="F47" s="52"/>
      <c r="G47" s="52"/>
      <c r="H47" s="52"/>
      <c r="I47" s="52"/>
      <c r="J47" s="52"/>
      <c r="K47" s="54"/>
      <c r="L47" s="62" t="str">
        <f>tblIndicators!Z40</f>
        <v>3.2.4) Percent living in urban slums</v>
      </c>
      <c r="M47" s="181" t="s">
        <v>1162</v>
      </c>
      <c r="N47" s="181" t="s">
        <v>1163</v>
      </c>
      <c r="O47" s="181" t="s">
        <v>1164</v>
      </c>
      <c r="P47" s="181" t="s">
        <v>1165</v>
      </c>
      <c r="Q47" s="181" t="s">
        <v>1166</v>
      </c>
      <c r="R47" s="181"/>
      <c r="S47" s="181" t="s">
        <v>1167</v>
      </c>
      <c r="T47" s="181" t="s">
        <v>620</v>
      </c>
      <c r="U47" s="181"/>
      <c r="V47" s="181" t="s">
        <v>541</v>
      </c>
      <c r="W47" s="181" t="s">
        <v>1168</v>
      </c>
      <c r="X47" s="181" t="s">
        <v>1169</v>
      </c>
      <c r="Y47" s="181" t="s">
        <v>1170</v>
      </c>
      <c r="Z47" s="181"/>
      <c r="AA47" s="181"/>
      <c r="AB47" s="181" t="s">
        <v>1171</v>
      </c>
      <c r="AC47" s="181" t="s">
        <v>1172</v>
      </c>
      <c r="AD47" s="181" t="s">
        <v>541</v>
      </c>
      <c r="AE47" s="181" t="s">
        <v>541</v>
      </c>
      <c r="AF47" s="181" t="s">
        <v>1173</v>
      </c>
      <c r="AG47" s="181" t="s">
        <v>1174</v>
      </c>
      <c r="AH47" s="181"/>
      <c r="AI47" s="181" t="s">
        <v>1175</v>
      </c>
      <c r="AJ47" s="181" t="s">
        <v>1176</v>
      </c>
      <c r="AK47" s="181" t="s">
        <v>1176</v>
      </c>
      <c r="AL47" s="181"/>
      <c r="AM47" s="181" t="s">
        <v>1177</v>
      </c>
      <c r="AN47" s="181"/>
      <c r="AO47" s="181" t="s">
        <v>1178</v>
      </c>
      <c r="AP47" s="181" t="s">
        <v>1179</v>
      </c>
      <c r="AQ47" s="181" t="s">
        <v>1180</v>
      </c>
      <c r="AR47" s="181" t="s">
        <v>1181</v>
      </c>
      <c r="AS47" s="181" t="s">
        <v>1182</v>
      </c>
      <c r="AT47" s="181" t="s">
        <v>1183</v>
      </c>
      <c r="AU47" s="181" t="s">
        <v>541</v>
      </c>
      <c r="AV47" s="181" t="s">
        <v>1184</v>
      </c>
      <c r="AW47" s="181" t="s">
        <v>1185</v>
      </c>
      <c r="AX47" s="181" t="s">
        <v>541</v>
      </c>
      <c r="AY47" s="181"/>
      <c r="AZ47" s="181"/>
      <c r="BA47" s="181" t="s">
        <v>478</v>
      </c>
      <c r="BB47" s="181" t="s">
        <v>1186</v>
      </c>
      <c r="BC47" s="181" t="s">
        <v>1187</v>
      </c>
      <c r="BD47" s="181" t="s">
        <v>1188</v>
      </c>
      <c r="BE47" s="181" t="s">
        <v>1189</v>
      </c>
      <c r="BF47" s="181" t="s">
        <v>1190</v>
      </c>
      <c r="BG47" s="181" t="s">
        <v>541</v>
      </c>
      <c r="BH47" s="181"/>
      <c r="BI47" s="181" t="s">
        <v>1191</v>
      </c>
      <c r="BJ47" s="181" t="s">
        <v>541</v>
      </c>
    </row>
    <row r="48" s="22" customFormat="1" spans="1:62">
      <c r="A48" s="24">
        <f>tblIndicators!A41</f>
        <v>40</v>
      </c>
      <c r="B48" s="24"/>
      <c r="C48" s="24"/>
      <c r="D48" s="52"/>
      <c r="E48" s="52"/>
      <c r="F48" s="52"/>
      <c r="G48" s="52"/>
      <c r="H48" s="52"/>
      <c r="I48" s="52"/>
      <c r="J48" s="52"/>
      <c r="K48" s="54"/>
      <c r="L48" s="62" t="str">
        <f>tblIndicators!Z41</f>
        <v>4) PERSONAL SAFETY</v>
      </c>
      <c r="M48" s="181" t="s">
        <v>424</v>
      </c>
      <c r="N48" s="181" t="s">
        <v>424</v>
      </c>
      <c r="O48" s="181" t="s">
        <v>424</v>
      </c>
      <c r="P48" s="181" t="s">
        <v>424</v>
      </c>
      <c r="Q48" s="181" t="s">
        <v>424</v>
      </c>
      <c r="R48" s="181" t="s">
        <v>424</v>
      </c>
      <c r="S48" s="181" t="s">
        <v>424</v>
      </c>
      <c r="T48" s="181" t="s">
        <v>424</v>
      </c>
      <c r="U48" s="181" t="s">
        <v>424</v>
      </c>
      <c r="V48" s="181" t="s">
        <v>424</v>
      </c>
      <c r="W48" s="181" t="s">
        <v>424</v>
      </c>
      <c r="X48" s="181" t="s">
        <v>424</v>
      </c>
      <c r="Y48" s="181" t="s">
        <v>424</v>
      </c>
      <c r="Z48" s="181" t="s">
        <v>424</v>
      </c>
      <c r="AA48" s="181" t="s">
        <v>424</v>
      </c>
      <c r="AB48" s="181" t="s">
        <v>424</v>
      </c>
      <c r="AC48" s="181" t="s">
        <v>424</v>
      </c>
      <c r="AD48" s="181" t="s">
        <v>424</v>
      </c>
      <c r="AE48" s="181" t="s">
        <v>424</v>
      </c>
      <c r="AF48" s="181" t="s">
        <v>424</v>
      </c>
      <c r="AG48" s="181" t="s">
        <v>424</v>
      </c>
      <c r="AH48" s="181" t="s">
        <v>424</v>
      </c>
      <c r="AI48" s="181" t="s">
        <v>424</v>
      </c>
      <c r="AJ48" s="181" t="s">
        <v>424</v>
      </c>
      <c r="AK48" s="181" t="s">
        <v>424</v>
      </c>
      <c r="AL48" s="181" t="s">
        <v>424</v>
      </c>
      <c r="AM48" s="181" t="s">
        <v>424</v>
      </c>
      <c r="AN48" s="181" t="s">
        <v>424</v>
      </c>
      <c r="AO48" s="181" t="s">
        <v>424</v>
      </c>
      <c r="AP48" s="181" t="s">
        <v>424</v>
      </c>
      <c r="AQ48" s="181" t="s">
        <v>424</v>
      </c>
      <c r="AR48" s="181" t="s">
        <v>424</v>
      </c>
      <c r="AS48" s="181" t="s">
        <v>424</v>
      </c>
      <c r="AT48" s="181" t="s">
        <v>424</v>
      </c>
      <c r="AU48" s="181" t="s">
        <v>424</v>
      </c>
      <c r="AV48" s="181" t="s">
        <v>424</v>
      </c>
      <c r="AW48" s="181" t="s">
        <v>424</v>
      </c>
      <c r="AX48" s="181" t="s">
        <v>424</v>
      </c>
      <c r="AY48" s="181" t="s">
        <v>424</v>
      </c>
      <c r="AZ48" s="181" t="s">
        <v>424</v>
      </c>
      <c r="BA48" s="181" t="s">
        <v>424</v>
      </c>
      <c r="BB48" s="181" t="s">
        <v>424</v>
      </c>
      <c r="BC48" s="181" t="s">
        <v>424</v>
      </c>
      <c r="BD48" s="181" t="s">
        <v>424</v>
      </c>
      <c r="BE48" s="181" t="s">
        <v>424</v>
      </c>
      <c r="BF48" s="181" t="s">
        <v>424</v>
      </c>
      <c r="BG48" s="181" t="s">
        <v>424</v>
      </c>
      <c r="BH48" s="181" t="s">
        <v>424</v>
      </c>
      <c r="BI48" s="181" t="s">
        <v>424</v>
      </c>
      <c r="BJ48" s="181" t="s">
        <v>424</v>
      </c>
    </row>
    <row r="49" s="22" customFormat="1" spans="1:62">
      <c r="A49" s="24">
        <f>tblIndicators!A42</f>
        <v>41</v>
      </c>
      <c r="B49" s="24"/>
      <c r="C49" s="24"/>
      <c r="D49" s="52"/>
      <c r="E49" s="52"/>
      <c r="F49" s="52"/>
      <c r="G49" s="52"/>
      <c r="H49" s="52"/>
      <c r="I49" s="52"/>
      <c r="J49" s="52"/>
      <c r="K49" s="54"/>
      <c r="L49" s="62" t="str">
        <f>tblIndicators!Z42</f>
        <v>4.1) Personal Safety (Inputs)</v>
      </c>
      <c r="M49" s="181" t="s">
        <v>424</v>
      </c>
      <c r="N49" s="181" t="s">
        <v>424</v>
      </c>
      <c r="O49" s="181" t="s">
        <v>424</v>
      </c>
      <c r="P49" s="181" t="s">
        <v>424</v>
      </c>
      <c r="Q49" s="181" t="s">
        <v>424</v>
      </c>
      <c r="R49" s="181" t="s">
        <v>424</v>
      </c>
      <c r="S49" s="181" t="s">
        <v>424</v>
      </c>
      <c r="T49" s="181" t="s">
        <v>424</v>
      </c>
      <c r="U49" s="181" t="s">
        <v>424</v>
      </c>
      <c r="V49" s="181" t="s">
        <v>424</v>
      </c>
      <c r="W49" s="181" t="s">
        <v>424</v>
      </c>
      <c r="X49" s="181" t="s">
        <v>424</v>
      </c>
      <c r="Y49" s="181" t="s">
        <v>424</v>
      </c>
      <c r="Z49" s="181" t="s">
        <v>424</v>
      </c>
      <c r="AA49" s="181" t="s">
        <v>424</v>
      </c>
      <c r="AB49" s="181" t="s">
        <v>424</v>
      </c>
      <c r="AC49" s="181" t="s">
        <v>424</v>
      </c>
      <c r="AD49" s="181" t="s">
        <v>424</v>
      </c>
      <c r="AE49" s="181" t="s">
        <v>424</v>
      </c>
      <c r="AF49" s="181" t="s">
        <v>424</v>
      </c>
      <c r="AG49" s="181" t="s">
        <v>424</v>
      </c>
      <c r="AH49" s="181" t="s">
        <v>424</v>
      </c>
      <c r="AI49" s="181" t="s">
        <v>424</v>
      </c>
      <c r="AJ49" s="181" t="s">
        <v>424</v>
      </c>
      <c r="AK49" s="181" t="s">
        <v>424</v>
      </c>
      <c r="AL49" s="181" t="s">
        <v>424</v>
      </c>
      <c r="AM49" s="181" t="s">
        <v>424</v>
      </c>
      <c r="AN49" s="181" t="s">
        <v>424</v>
      </c>
      <c r="AO49" s="181" t="s">
        <v>424</v>
      </c>
      <c r="AP49" s="181" t="s">
        <v>424</v>
      </c>
      <c r="AQ49" s="181" t="s">
        <v>424</v>
      </c>
      <c r="AR49" s="181" t="s">
        <v>424</v>
      </c>
      <c r="AS49" s="181" t="s">
        <v>424</v>
      </c>
      <c r="AT49" s="181" t="s">
        <v>424</v>
      </c>
      <c r="AU49" s="181" t="s">
        <v>424</v>
      </c>
      <c r="AV49" s="181" t="s">
        <v>424</v>
      </c>
      <c r="AW49" s="181" t="s">
        <v>424</v>
      </c>
      <c r="AX49" s="181" t="s">
        <v>424</v>
      </c>
      <c r="AY49" s="181" t="s">
        <v>424</v>
      </c>
      <c r="AZ49" s="181" t="s">
        <v>424</v>
      </c>
      <c r="BA49" s="181" t="s">
        <v>424</v>
      </c>
      <c r="BB49" s="181" t="s">
        <v>424</v>
      </c>
      <c r="BC49" s="181" t="s">
        <v>424</v>
      </c>
      <c r="BD49" s="181" t="s">
        <v>424</v>
      </c>
      <c r="BE49" s="181" t="s">
        <v>424</v>
      </c>
      <c r="BF49" s="181" t="s">
        <v>424</v>
      </c>
      <c r="BG49" s="181" t="s">
        <v>424</v>
      </c>
      <c r="BH49" s="181" t="s">
        <v>424</v>
      </c>
      <c r="BI49" s="181" t="s">
        <v>424</v>
      </c>
      <c r="BJ49" s="181" t="s">
        <v>424</v>
      </c>
    </row>
    <row r="50" s="22" customFormat="1" spans="1:62">
      <c r="A50" s="24">
        <f>tblIndicators!A43</f>
        <v>42</v>
      </c>
      <c r="B50" s="24"/>
      <c r="C50" s="24"/>
      <c r="D50" s="52"/>
      <c r="E50" s="52"/>
      <c r="F50" s="52"/>
      <c r="G50" s="52"/>
      <c r="H50" s="52"/>
      <c r="I50" s="52"/>
      <c r="J50" s="52"/>
      <c r="K50" s="54"/>
      <c r="L50" s="62" t="str">
        <f>tblIndicators!Z43</f>
        <v>4.1.1) Level of police engagement</v>
      </c>
      <c r="M50" s="181"/>
      <c r="N50" s="181" t="s">
        <v>1192</v>
      </c>
      <c r="O50" s="181"/>
      <c r="P50" s="181" t="s">
        <v>1193</v>
      </c>
      <c r="Q50" s="181" t="s">
        <v>1194</v>
      </c>
      <c r="R50" s="181" t="s">
        <v>1195</v>
      </c>
      <c r="S50" s="181" t="s">
        <v>1196</v>
      </c>
      <c r="T50" s="181" t="s">
        <v>1197</v>
      </c>
      <c r="U50" s="181" t="s">
        <v>1198</v>
      </c>
      <c r="V50" s="181" t="s">
        <v>1199</v>
      </c>
      <c r="W50" s="181" t="s">
        <v>1200</v>
      </c>
      <c r="X50" s="181" t="s">
        <v>1201</v>
      </c>
      <c r="Y50" s="181"/>
      <c r="Z50" s="181" t="s">
        <v>1202</v>
      </c>
      <c r="AA50" s="181" t="s">
        <v>1203</v>
      </c>
      <c r="AB50" s="181" t="s">
        <v>1204</v>
      </c>
      <c r="AC50" s="181" t="s">
        <v>1205</v>
      </c>
      <c r="AD50" s="181" t="s">
        <v>1206</v>
      </c>
      <c r="AE50" s="181" t="s">
        <v>1207</v>
      </c>
      <c r="AF50" s="181"/>
      <c r="AG50" s="181"/>
      <c r="AH50" s="181"/>
      <c r="AI50" s="181"/>
      <c r="AJ50" s="181" t="s">
        <v>1208</v>
      </c>
      <c r="AK50" s="181" t="s">
        <v>1209</v>
      </c>
      <c r="AL50" s="181" t="s">
        <v>1210</v>
      </c>
      <c r="AM50" s="181" t="s">
        <v>1211</v>
      </c>
      <c r="AN50" s="181" t="s">
        <v>1212</v>
      </c>
      <c r="AO50" s="181" t="s">
        <v>1213</v>
      </c>
      <c r="AP50" s="181" t="s">
        <v>1214</v>
      </c>
      <c r="AQ50" s="181"/>
      <c r="AR50" s="181" t="s">
        <v>1215</v>
      </c>
      <c r="AS50" s="181" t="s">
        <v>1216</v>
      </c>
      <c r="AT50" s="181"/>
      <c r="AU50" s="181"/>
      <c r="AV50" s="181" t="s">
        <v>1217</v>
      </c>
      <c r="AW50" s="181"/>
      <c r="AX50" s="181"/>
      <c r="AY50" s="181"/>
      <c r="AZ50" s="181" t="s">
        <v>1218</v>
      </c>
      <c r="BA50" s="181"/>
      <c r="BB50" s="181"/>
      <c r="BC50" s="181" t="s">
        <v>1219</v>
      </c>
      <c r="BD50" s="181" t="s">
        <v>1220</v>
      </c>
      <c r="BE50" s="181" t="s">
        <v>1221</v>
      </c>
      <c r="BF50" s="181" t="s">
        <v>1222</v>
      </c>
      <c r="BG50" s="181" t="s">
        <v>1223</v>
      </c>
      <c r="BH50" s="181" t="s">
        <v>1224</v>
      </c>
      <c r="BI50" s="181" t="s">
        <v>1225</v>
      </c>
      <c r="BJ50" s="181" t="s">
        <v>1226</v>
      </c>
    </row>
    <row r="51" s="22" customFormat="1" spans="1:62">
      <c r="A51" s="24">
        <f>tblIndicators!A44</f>
        <v>43</v>
      </c>
      <c r="B51" s="24"/>
      <c r="C51" s="24"/>
      <c r="D51" s="52"/>
      <c r="E51" s="52"/>
      <c r="F51" s="52"/>
      <c r="G51" s="52"/>
      <c r="H51" s="52"/>
      <c r="I51" s="52"/>
      <c r="J51" s="52"/>
      <c r="K51" s="54"/>
      <c r="L51" s="62" t="str">
        <f>tblIndicators!Z44</f>
        <v>4.1.2) Community-based patrolling</v>
      </c>
      <c r="M51" s="181" t="s">
        <v>1227</v>
      </c>
      <c r="N51" s="181" t="s">
        <v>1228</v>
      </c>
      <c r="O51" s="181" t="s">
        <v>1229</v>
      </c>
      <c r="P51" s="181" t="s">
        <v>1230</v>
      </c>
      <c r="Q51" s="181" t="s">
        <v>1231</v>
      </c>
      <c r="R51" s="181" t="s">
        <v>1232</v>
      </c>
      <c r="S51" s="181" t="s">
        <v>1233</v>
      </c>
      <c r="T51" s="181" t="s">
        <v>1234</v>
      </c>
      <c r="U51" s="181" t="s">
        <v>1235</v>
      </c>
      <c r="V51" s="181" t="s">
        <v>1236</v>
      </c>
      <c r="W51" s="181" t="s">
        <v>1237</v>
      </c>
      <c r="X51" s="181" t="s">
        <v>1238</v>
      </c>
      <c r="Y51" s="181" t="s">
        <v>1239</v>
      </c>
      <c r="Z51" s="181" t="s">
        <v>1240</v>
      </c>
      <c r="AA51" s="181" t="s">
        <v>1241</v>
      </c>
      <c r="AB51" s="181" t="s">
        <v>1242</v>
      </c>
      <c r="AC51" s="181" t="s">
        <v>1243</v>
      </c>
      <c r="AD51" s="181" t="s">
        <v>1244</v>
      </c>
      <c r="AE51" s="181"/>
      <c r="AF51" s="181"/>
      <c r="AG51" s="181"/>
      <c r="AH51" s="181"/>
      <c r="AI51" s="181"/>
      <c r="AJ51" s="181" t="s">
        <v>1245</v>
      </c>
      <c r="AK51" s="181" t="s">
        <v>1246</v>
      </c>
      <c r="AL51" s="181" t="s">
        <v>1247</v>
      </c>
      <c r="AM51" s="181" t="s">
        <v>1248</v>
      </c>
      <c r="AN51" s="181" t="s">
        <v>1249</v>
      </c>
      <c r="AO51" s="181" t="s">
        <v>1250</v>
      </c>
      <c r="AP51" s="181" t="s">
        <v>1251</v>
      </c>
      <c r="AQ51" s="181" t="s">
        <v>1252</v>
      </c>
      <c r="AR51" s="181" t="s">
        <v>1253</v>
      </c>
      <c r="AS51" s="181" t="s">
        <v>1254</v>
      </c>
      <c r="AT51" s="181" t="s">
        <v>1255</v>
      </c>
      <c r="AU51" s="181" t="s">
        <v>1256</v>
      </c>
      <c r="AV51" s="181" t="s">
        <v>1217</v>
      </c>
      <c r="AW51" s="181" t="s">
        <v>1257</v>
      </c>
      <c r="AX51" s="181" t="s">
        <v>1258</v>
      </c>
      <c r="AY51" s="181" t="s">
        <v>1259</v>
      </c>
      <c r="AZ51" s="181" t="s">
        <v>1260</v>
      </c>
      <c r="BA51" s="181" t="s">
        <v>1261</v>
      </c>
      <c r="BB51" s="181" t="s">
        <v>1262</v>
      </c>
      <c r="BC51" s="181" t="s">
        <v>1263</v>
      </c>
      <c r="BD51" s="181" t="s">
        <v>1264</v>
      </c>
      <c r="BE51" s="181" t="s">
        <v>1265</v>
      </c>
      <c r="BF51" s="181" t="s">
        <v>1266</v>
      </c>
      <c r="BG51" s="181" t="s">
        <v>1267</v>
      </c>
      <c r="BH51" s="181" t="s">
        <v>1268</v>
      </c>
      <c r="BI51" s="181" t="s">
        <v>1269</v>
      </c>
      <c r="BJ51" s="181" t="s">
        <v>1270</v>
      </c>
    </row>
    <row r="52" s="22" customFormat="1" spans="1:62">
      <c r="A52" s="24">
        <f>tblIndicators!A45</f>
        <v>44</v>
      </c>
      <c r="B52" s="24"/>
      <c r="C52" s="24"/>
      <c r="D52" s="52"/>
      <c r="E52" s="52"/>
      <c r="F52" s="52"/>
      <c r="G52" s="52"/>
      <c r="H52" s="52"/>
      <c r="I52" s="52"/>
      <c r="J52" s="52"/>
      <c r="K52" s="54"/>
      <c r="L52" s="62" t="str">
        <f>tblIndicators!Z45</f>
        <v>4.1.3) Availability of street-level crime data</v>
      </c>
      <c r="M52" s="181"/>
      <c r="N52" s="181" t="s">
        <v>1271</v>
      </c>
      <c r="O52" s="181"/>
      <c r="P52" s="181"/>
      <c r="Q52" s="181" t="s">
        <v>1272</v>
      </c>
      <c r="R52" s="181" t="s">
        <v>1273</v>
      </c>
      <c r="S52" s="181" t="s">
        <v>1274</v>
      </c>
      <c r="T52" s="181" t="s">
        <v>1275</v>
      </c>
      <c r="U52" s="181" t="s">
        <v>1276</v>
      </c>
      <c r="V52" s="181" t="s">
        <v>1277</v>
      </c>
      <c r="W52" s="181"/>
      <c r="X52" s="181" t="s">
        <v>1278</v>
      </c>
      <c r="Y52" s="181"/>
      <c r="Z52" s="181" t="s">
        <v>1279</v>
      </c>
      <c r="AA52" s="181" t="s">
        <v>1280</v>
      </c>
      <c r="AB52" s="181" t="s">
        <v>1281</v>
      </c>
      <c r="AC52" s="181" t="s">
        <v>1282</v>
      </c>
      <c r="AD52" s="181" t="s">
        <v>1283</v>
      </c>
      <c r="AE52" s="181"/>
      <c r="AF52" s="181"/>
      <c r="AG52" s="181"/>
      <c r="AH52" s="181"/>
      <c r="AI52" s="181"/>
      <c r="AJ52" s="181" t="s">
        <v>1284</v>
      </c>
      <c r="AK52" s="181" t="s">
        <v>1285</v>
      </c>
      <c r="AL52" s="181" t="s">
        <v>1286</v>
      </c>
      <c r="AM52" s="181" t="s">
        <v>1287</v>
      </c>
      <c r="AN52" s="181" t="s">
        <v>1288</v>
      </c>
      <c r="AO52" s="181" t="s">
        <v>1289</v>
      </c>
      <c r="AP52" s="181" t="s">
        <v>1290</v>
      </c>
      <c r="AQ52" s="181"/>
      <c r="AR52" s="181" t="s">
        <v>1291</v>
      </c>
      <c r="AS52" s="181" t="s">
        <v>1292</v>
      </c>
      <c r="AT52" s="181"/>
      <c r="AU52" s="181"/>
      <c r="AV52" s="181" t="s">
        <v>1293</v>
      </c>
      <c r="AW52" s="181" t="s">
        <v>1294</v>
      </c>
      <c r="AX52" s="181" t="s">
        <v>1295</v>
      </c>
      <c r="AY52" s="181"/>
      <c r="AZ52" s="181" t="s">
        <v>1218</v>
      </c>
      <c r="BA52" s="181" t="s">
        <v>1296</v>
      </c>
      <c r="BB52" s="181" t="s">
        <v>1297</v>
      </c>
      <c r="BC52" s="181" t="s">
        <v>1298</v>
      </c>
      <c r="BD52" s="181" t="s">
        <v>1299</v>
      </c>
      <c r="BE52" s="181"/>
      <c r="BF52" s="181" t="s">
        <v>1300</v>
      </c>
      <c r="BG52" s="181" t="s">
        <v>1301</v>
      </c>
      <c r="BH52" s="181" t="s">
        <v>1302</v>
      </c>
      <c r="BI52" s="181" t="s">
        <v>1303</v>
      </c>
      <c r="BJ52" s="181" t="s">
        <v>1304</v>
      </c>
    </row>
    <row r="53" s="22" customFormat="1" spans="1:62">
      <c r="A53" s="24">
        <f>tblIndicators!A46</f>
        <v>45</v>
      </c>
      <c r="B53" s="24"/>
      <c r="C53" s="24"/>
      <c r="D53" s="52"/>
      <c r="E53" s="52"/>
      <c r="F53" s="52"/>
      <c r="G53" s="52"/>
      <c r="H53" s="52"/>
      <c r="I53" s="52"/>
      <c r="J53" s="52"/>
      <c r="K53" s="54"/>
      <c r="L53" s="62" t="str">
        <f>tblIndicators!Z46</f>
        <v>4.1.4) Use of data-driven techniques for crime</v>
      </c>
      <c r="M53" s="181" t="s">
        <v>1305</v>
      </c>
      <c r="N53" s="181"/>
      <c r="O53" s="181" t="s">
        <v>1306</v>
      </c>
      <c r="P53" s="181"/>
      <c r="Q53" s="181"/>
      <c r="R53" s="181" t="s">
        <v>1307</v>
      </c>
      <c r="S53" s="181" t="s">
        <v>1308</v>
      </c>
      <c r="T53" s="181" t="s">
        <v>1309</v>
      </c>
      <c r="U53" s="181"/>
      <c r="V53" s="181" t="s">
        <v>1310</v>
      </c>
      <c r="W53" s="181" t="s">
        <v>1311</v>
      </c>
      <c r="X53" s="181" t="s">
        <v>1312</v>
      </c>
      <c r="Y53" s="181" t="s">
        <v>1313</v>
      </c>
      <c r="Z53" s="181" t="s">
        <v>1314</v>
      </c>
      <c r="AA53" s="181" t="s">
        <v>1315</v>
      </c>
      <c r="AB53" s="181" t="s">
        <v>1316</v>
      </c>
      <c r="AC53" s="181" t="s">
        <v>1317</v>
      </c>
      <c r="AD53" s="181" t="s">
        <v>1318</v>
      </c>
      <c r="AE53" s="181"/>
      <c r="AF53" s="181" t="s">
        <v>1319</v>
      </c>
      <c r="AG53" s="181"/>
      <c r="AH53" s="181"/>
      <c r="AI53" s="181"/>
      <c r="AJ53" s="181" t="s">
        <v>1320</v>
      </c>
      <c r="AK53" s="181" t="s">
        <v>1321</v>
      </c>
      <c r="AL53" s="181"/>
      <c r="AM53" s="181" t="s">
        <v>1322</v>
      </c>
      <c r="AN53" s="181" t="s">
        <v>1323</v>
      </c>
      <c r="AO53" s="181" t="s">
        <v>1324</v>
      </c>
      <c r="AP53" s="181" t="s">
        <v>1325</v>
      </c>
      <c r="AQ53" s="181" t="s">
        <v>1326</v>
      </c>
      <c r="AR53" s="181" t="s">
        <v>1327</v>
      </c>
      <c r="AS53" s="181" t="s">
        <v>1328</v>
      </c>
      <c r="AT53" s="181"/>
      <c r="AU53" s="181"/>
      <c r="AV53" s="181" t="s">
        <v>1329</v>
      </c>
      <c r="AW53" s="181" t="s">
        <v>1330</v>
      </c>
      <c r="AX53" s="181"/>
      <c r="AY53" s="181"/>
      <c r="AZ53" s="181" t="s">
        <v>1331</v>
      </c>
      <c r="BA53" s="181" t="s">
        <v>1331</v>
      </c>
      <c r="BB53" s="181"/>
      <c r="BC53" s="181" t="s">
        <v>1332</v>
      </c>
      <c r="BD53" s="181" t="s">
        <v>1333</v>
      </c>
      <c r="BE53" s="181"/>
      <c r="BF53" s="181"/>
      <c r="BG53" s="181" t="s">
        <v>1334</v>
      </c>
      <c r="BH53" s="181"/>
      <c r="BI53" s="181" t="s">
        <v>1335</v>
      </c>
      <c r="BJ53" s="181" t="s">
        <v>1336</v>
      </c>
    </row>
    <row r="54" s="22" customFormat="1" spans="1:62">
      <c r="A54" s="24">
        <f>tblIndicators!A47</f>
        <v>46</v>
      </c>
      <c r="B54" s="24"/>
      <c r="C54" s="24"/>
      <c r="D54" s="52"/>
      <c r="E54" s="52"/>
      <c r="F54" s="52"/>
      <c r="G54" s="52"/>
      <c r="H54" s="52"/>
      <c r="I54" s="52"/>
      <c r="J54" s="52"/>
      <c r="K54" s="54"/>
      <c r="L54" s="62" t="str">
        <f>tblIndicators!Z47</f>
        <v>4.1.5) Private security measures</v>
      </c>
      <c r="M54" s="181" t="s">
        <v>1337</v>
      </c>
      <c r="N54" s="181" t="s">
        <v>1338</v>
      </c>
      <c r="O54" s="181" t="s">
        <v>1339</v>
      </c>
      <c r="P54" s="181" t="s">
        <v>1340</v>
      </c>
      <c r="Q54" s="181" t="s">
        <v>1341</v>
      </c>
      <c r="R54" s="181" t="s">
        <v>1342</v>
      </c>
      <c r="S54" s="181" t="s">
        <v>1343</v>
      </c>
      <c r="T54" s="181" t="s">
        <v>1344</v>
      </c>
      <c r="U54" s="181"/>
      <c r="V54" s="181" t="s">
        <v>1345</v>
      </c>
      <c r="W54" s="181" t="s">
        <v>1346</v>
      </c>
      <c r="X54" s="181"/>
      <c r="Y54" s="181"/>
      <c r="Z54" s="181" t="s">
        <v>1347</v>
      </c>
      <c r="AA54" s="181" t="s">
        <v>1348</v>
      </c>
      <c r="AB54" s="181" t="s">
        <v>1349</v>
      </c>
      <c r="AC54" s="181" t="s">
        <v>1350</v>
      </c>
      <c r="AD54" s="181" t="s">
        <v>1351</v>
      </c>
      <c r="AE54" s="181"/>
      <c r="AF54" s="181"/>
      <c r="AG54" s="181"/>
      <c r="AH54" s="181"/>
      <c r="AI54" s="181"/>
      <c r="AJ54" s="181"/>
      <c r="AK54" s="181" t="s">
        <v>1352</v>
      </c>
      <c r="AL54" s="181"/>
      <c r="AM54" s="181" t="s">
        <v>1353</v>
      </c>
      <c r="AN54" s="181" t="s">
        <v>1354</v>
      </c>
      <c r="AO54" s="181" t="s">
        <v>1355</v>
      </c>
      <c r="AP54" s="181" t="s">
        <v>1290</v>
      </c>
      <c r="AQ54" s="181" t="s">
        <v>1356</v>
      </c>
      <c r="AR54" s="181" t="s">
        <v>1357</v>
      </c>
      <c r="AS54" s="181" t="s">
        <v>1358</v>
      </c>
      <c r="AT54" s="181" t="s">
        <v>1359</v>
      </c>
      <c r="AU54" s="181"/>
      <c r="AV54" s="181" t="s">
        <v>1360</v>
      </c>
      <c r="AW54" s="181"/>
      <c r="AX54" s="181"/>
      <c r="AY54" s="181"/>
      <c r="AZ54" s="181"/>
      <c r="BA54" s="181"/>
      <c r="BB54" s="181"/>
      <c r="BC54" s="181"/>
      <c r="BD54" s="181" t="s">
        <v>1361</v>
      </c>
      <c r="BE54" s="181" t="s">
        <v>1362</v>
      </c>
      <c r="BF54" s="181" t="s">
        <v>1363</v>
      </c>
      <c r="BG54" s="181" t="s">
        <v>1364</v>
      </c>
      <c r="BH54" s="181" t="s">
        <v>1365</v>
      </c>
      <c r="BI54" s="181" t="s">
        <v>1366</v>
      </c>
      <c r="BJ54" s="181" t="s">
        <v>1367</v>
      </c>
    </row>
    <row r="55" s="22" customFormat="1" spans="1:62">
      <c r="A55" s="24">
        <f>tblIndicators!A48</f>
        <v>47</v>
      </c>
      <c r="B55" s="24"/>
      <c r="C55" s="24"/>
      <c r="D55" s="52"/>
      <c r="E55" s="52"/>
      <c r="F55" s="52"/>
      <c r="G55" s="52"/>
      <c r="H55" s="52"/>
      <c r="I55" s="52"/>
      <c r="J55" s="52"/>
      <c r="K55" s="54"/>
      <c r="L55" s="62" t="str">
        <f>tblIndicators!Z48</f>
        <v>4.1.6) Gun regulation and enforcement</v>
      </c>
      <c r="M55" s="181" t="s">
        <v>1368</v>
      </c>
      <c r="N55" s="181" t="s">
        <v>1369</v>
      </c>
      <c r="O55" s="181" t="s">
        <v>1370</v>
      </c>
      <c r="P55" s="181" t="s">
        <v>1371</v>
      </c>
      <c r="Q55" s="181" t="s">
        <v>1372</v>
      </c>
      <c r="R55" s="181" t="s">
        <v>1373</v>
      </c>
      <c r="S55" s="181" t="s">
        <v>1374</v>
      </c>
      <c r="T55" s="181" t="s">
        <v>1375</v>
      </c>
      <c r="U55" s="181" t="s">
        <v>1375</v>
      </c>
      <c r="V55" s="181" t="s">
        <v>1376</v>
      </c>
      <c r="W55" s="181" t="s">
        <v>1377</v>
      </c>
      <c r="X55" s="181" t="s">
        <v>1378</v>
      </c>
      <c r="Y55" s="181" t="s">
        <v>1379</v>
      </c>
      <c r="Z55" s="181" t="s">
        <v>1380</v>
      </c>
      <c r="AA55" s="181" t="s">
        <v>1381</v>
      </c>
      <c r="AB55" s="181" t="s">
        <v>1382</v>
      </c>
      <c r="AC55" s="181" t="s">
        <v>1383</v>
      </c>
      <c r="AD55" s="181" t="s">
        <v>1384</v>
      </c>
      <c r="AE55" s="181" t="s">
        <v>1385</v>
      </c>
      <c r="AF55" s="181" t="s">
        <v>1386</v>
      </c>
      <c r="AG55" s="181"/>
      <c r="AH55" s="181" t="s">
        <v>1386</v>
      </c>
      <c r="AI55" s="181"/>
      <c r="AJ55" s="181" t="s">
        <v>1387</v>
      </c>
      <c r="AK55" s="181"/>
      <c r="AL55" s="181" t="s">
        <v>1388</v>
      </c>
      <c r="AM55" s="181" t="s">
        <v>1389</v>
      </c>
      <c r="AN55" s="181" t="s">
        <v>1390</v>
      </c>
      <c r="AO55" s="181"/>
      <c r="AP55" s="181" t="s">
        <v>1391</v>
      </c>
      <c r="AQ55" s="181" t="s">
        <v>1392</v>
      </c>
      <c r="AR55" s="181" t="s">
        <v>1393</v>
      </c>
      <c r="AS55" s="181" t="s">
        <v>1394</v>
      </c>
      <c r="AT55" s="181" t="s">
        <v>1395</v>
      </c>
      <c r="AU55" s="181" t="s">
        <v>1396</v>
      </c>
      <c r="AV55" s="181" t="s">
        <v>1397</v>
      </c>
      <c r="AW55" s="181" t="s">
        <v>1398</v>
      </c>
      <c r="AX55" s="181" t="s">
        <v>1399</v>
      </c>
      <c r="AY55" s="181" t="s">
        <v>1400</v>
      </c>
      <c r="AZ55" s="181" t="s">
        <v>1401</v>
      </c>
      <c r="BA55" s="181" t="s">
        <v>1402</v>
      </c>
      <c r="BB55" s="181" t="s">
        <v>1403</v>
      </c>
      <c r="BC55" s="181" t="s">
        <v>1404</v>
      </c>
      <c r="BD55" s="181" t="s">
        <v>1405</v>
      </c>
      <c r="BE55" s="181" t="s">
        <v>1406</v>
      </c>
      <c r="BF55" s="181"/>
      <c r="BG55" s="181" t="s">
        <v>1407</v>
      </c>
      <c r="BH55" s="181" t="s">
        <v>1408</v>
      </c>
      <c r="BI55" s="181" t="s">
        <v>1409</v>
      </c>
      <c r="BJ55" s="181" t="s">
        <v>1410</v>
      </c>
    </row>
    <row r="56" s="22" customFormat="1" spans="1:62">
      <c r="A56" s="24">
        <f>tblIndicators!A49</f>
        <v>48</v>
      </c>
      <c r="B56" s="24"/>
      <c r="C56" s="24"/>
      <c r="D56" s="52"/>
      <c r="E56" s="52"/>
      <c r="F56" s="52"/>
      <c r="G56" s="52"/>
      <c r="H56" s="52"/>
      <c r="I56" s="52"/>
      <c r="J56" s="52"/>
      <c r="K56" s="54"/>
      <c r="L56" s="62" t="str">
        <f>tblIndicators!Z49</f>
        <v>4.1.7) Political Stability Risk</v>
      </c>
      <c r="M56" s="181"/>
      <c r="N56" s="181"/>
      <c r="O56" s="181"/>
      <c r="P56" s="181"/>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181"/>
      <c r="AR56" s="181"/>
      <c r="AS56" s="181"/>
      <c r="AT56" s="181"/>
      <c r="AU56" s="181"/>
      <c r="AV56" s="181"/>
      <c r="AW56" s="181"/>
      <c r="AX56" s="181"/>
      <c r="AY56" s="181"/>
      <c r="AZ56" s="181"/>
      <c r="BA56" s="181"/>
      <c r="BB56" s="181"/>
      <c r="BC56" s="181"/>
      <c r="BD56" s="181"/>
      <c r="BE56" s="181"/>
      <c r="BF56" s="181"/>
      <c r="BG56" s="181"/>
      <c r="BH56" s="181"/>
      <c r="BI56" s="181"/>
      <c r="BJ56" s="181"/>
    </row>
    <row r="57" s="22" customFormat="1" spans="1:62">
      <c r="A57" s="24">
        <f>tblIndicators!A50</f>
        <v>49</v>
      </c>
      <c r="B57" s="24"/>
      <c r="C57" s="24"/>
      <c r="D57" s="52"/>
      <c r="E57" s="52"/>
      <c r="F57" s="52"/>
      <c r="G57" s="52"/>
      <c r="H57" s="52"/>
      <c r="I57" s="52"/>
      <c r="J57" s="52"/>
      <c r="K57" s="54"/>
      <c r="L57" s="62" t="str">
        <f>tblIndicators!Z50</f>
        <v>4.2) Personal Safety (Outputs)</v>
      </c>
      <c r="M57" s="181" t="s">
        <v>424</v>
      </c>
      <c r="N57" s="181" t="s">
        <v>424</v>
      </c>
      <c r="O57" s="181" t="s">
        <v>424</v>
      </c>
      <c r="P57" s="181" t="s">
        <v>424</v>
      </c>
      <c r="Q57" s="181" t="s">
        <v>424</v>
      </c>
      <c r="R57" s="181" t="s">
        <v>424</v>
      </c>
      <c r="S57" s="181" t="s">
        <v>424</v>
      </c>
      <c r="T57" s="181" t="s">
        <v>424</v>
      </c>
      <c r="U57" s="181" t="s">
        <v>424</v>
      </c>
      <c r="V57" s="181" t="s">
        <v>424</v>
      </c>
      <c r="W57" s="181" t="s">
        <v>424</v>
      </c>
      <c r="X57" s="181" t="s">
        <v>424</v>
      </c>
      <c r="Y57" s="181" t="s">
        <v>424</v>
      </c>
      <c r="Z57" s="181" t="s">
        <v>424</v>
      </c>
      <c r="AA57" s="181" t="s">
        <v>424</v>
      </c>
      <c r="AB57" s="181" t="s">
        <v>424</v>
      </c>
      <c r="AC57" s="181" t="s">
        <v>424</v>
      </c>
      <c r="AD57" s="181" t="s">
        <v>424</v>
      </c>
      <c r="AE57" s="181" t="s">
        <v>424</v>
      </c>
      <c r="AF57" s="181" t="s">
        <v>424</v>
      </c>
      <c r="AG57" s="181" t="s">
        <v>424</v>
      </c>
      <c r="AH57" s="181" t="s">
        <v>424</v>
      </c>
      <c r="AI57" s="181" t="s">
        <v>424</v>
      </c>
      <c r="AJ57" s="181" t="s">
        <v>424</v>
      </c>
      <c r="AK57" s="181" t="s">
        <v>424</v>
      </c>
      <c r="AL57" s="181" t="s">
        <v>424</v>
      </c>
      <c r="AM57" s="181" t="s">
        <v>424</v>
      </c>
      <c r="AN57" s="181" t="s">
        <v>424</v>
      </c>
      <c r="AO57" s="181" t="s">
        <v>424</v>
      </c>
      <c r="AP57" s="181" t="s">
        <v>424</v>
      </c>
      <c r="AQ57" s="181" t="s">
        <v>424</v>
      </c>
      <c r="AR57" s="181" t="s">
        <v>424</v>
      </c>
      <c r="AS57" s="181" t="s">
        <v>424</v>
      </c>
      <c r="AT57" s="181" t="s">
        <v>424</v>
      </c>
      <c r="AU57" s="181" t="s">
        <v>424</v>
      </c>
      <c r="AV57" s="181" t="s">
        <v>424</v>
      </c>
      <c r="AW57" s="181" t="s">
        <v>424</v>
      </c>
      <c r="AX57" s="181" t="s">
        <v>424</v>
      </c>
      <c r="AY57" s="181" t="s">
        <v>424</v>
      </c>
      <c r="AZ57" s="181" t="s">
        <v>424</v>
      </c>
      <c r="BA57" s="181" t="s">
        <v>424</v>
      </c>
      <c r="BB57" s="181" t="s">
        <v>424</v>
      </c>
      <c r="BC57" s="181" t="s">
        <v>424</v>
      </c>
      <c r="BD57" s="181" t="s">
        <v>424</v>
      </c>
      <c r="BE57" s="181" t="s">
        <v>424</v>
      </c>
      <c r="BF57" s="181" t="s">
        <v>424</v>
      </c>
      <c r="BG57" s="181" t="s">
        <v>424</v>
      </c>
      <c r="BH57" s="181" t="s">
        <v>424</v>
      </c>
      <c r="BI57" s="181" t="s">
        <v>424</v>
      </c>
      <c r="BJ57" s="181" t="s">
        <v>424</v>
      </c>
    </row>
    <row r="58" s="22" customFormat="1" spans="1:62">
      <c r="A58" s="24">
        <f>tblIndicators!A51</f>
        <v>50</v>
      </c>
      <c r="B58" s="24"/>
      <c r="C58" s="24"/>
      <c r="D58" s="52"/>
      <c r="E58" s="52"/>
      <c r="F58" s="52"/>
      <c r="G58" s="52"/>
      <c r="H58" s="52"/>
      <c r="I58" s="52"/>
      <c r="J58" s="52"/>
      <c r="K58" s="54"/>
      <c r="L58" s="62" t="str">
        <f>tblIndicators!Z51</f>
        <v>4.2.1) Prevalence of petty crime</v>
      </c>
      <c r="M58" s="181"/>
      <c r="N58" s="181"/>
      <c r="O58" s="181"/>
      <c r="P58" s="181"/>
      <c r="Q58" s="181"/>
      <c r="R58" s="181"/>
      <c r="S58" s="181"/>
      <c r="T58" s="181"/>
      <c r="U58" s="181"/>
      <c r="V58" s="181"/>
      <c r="W58" s="181"/>
      <c r="X58" s="181"/>
      <c r="Y58" s="181"/>
      <c r="Z58" s="181"/>
      <c r="AA58" s="181"/>
      <c r="AB58" s="181"/>
      <c r="AC58" s="181"/>
      <c r="AD58" s="181"/>
      <c r="AE58" s="181"/>
      <c r="AF58" s="181"/>
      <c r="AG58" s="181"/>
      <c r="AH58" s="181"/>
      <c r="AI58" s="181"/>
      <c r="AJ58" s="181"/>
      <c r="AK58" s="181"/>
      <c r="AL58" s="181"/>
      <c r="AM58" s="181"/>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row>
    <row r="59" s="22" customFormat="1" spans="1:62">
      <c r="A59" s="24">
        <f>tblIndicators!A52</f>
        <v>51</v>
      </c>
      <c r="B59" s="24"/>
      <c r="C59" s="24"/>
      <c r="D59" s="52"/>
      <c r="E59" s="52"/>
      <c r="F59" s="52"/>
      <c r="G59" s="52"/>
      <c r="H59" s="52"/>
      <c r="I59" s="52"/>
      <c r="J59" s="52"/>
      <c r="K59" s="54"/>
      <c r="L59" s="62" t="str">
        <f>tblIndicators!Z52</f>
        <v>4.2.2) Prevalence of violence crime</v>
      </c>
      <c r="M59" s="181"/>
      <c r="N59" s="181"/>
      <c r="O59" s="181"/>
      <c r="P59" s="181"/>
      <c r="Q59" s="181"/>
      <c r="R59" s="181"/>
      <c r="S59" s="181"/>
      <c r="T59" s="181"/>
      <c r="U59" s="181"/>
      <c r="V59" s="181"/>
      <c r="W59" s="181"/>
      <c r="X59" s="181"/>
      <c r="Y59" s="181"/>
      <c r="Z59" s="181"/>
      <c r="AA59" s="181"/>
      <c r="AB59" s="181"/>
      <c r="AC59" s="181"/>
      <c r="AD59" s="181"/>
      <c r="AE59" s="181"/>
      <c r="AF59" s="181"/>
      <c r="AG59" s="181"/>
      <c r="AH59" s="181"/>
      <c r="AI59" s="181"/>
      <c r="AJ59" s="181"/>
      <c r="AK59" s="181"/>
      <c r="AL59" s="181"/>
      <c r="AM59" s="181"/>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row>
    <row r="60" s="22" customFormat="1" spans="1:62">
      <c r="A60" s="24">
        <f>tblIndicators!A53</f>
        <v>52</v>
      </c>
      <c r="B60" s="24"/>
      <c r="C60" s="24"/>
      <c r="D60" s="52"/>
      <c r="E60" s="52"/>
      <c r="F60" s="52"/>
      <c r="G60" s="52"/>
      <c r="H60" s="52"/>
      <c r="I60" s="52"/>
      <c r="J60" s="52"/>
      <c r="K60" s="54"/>
      <c r="L60" s="62" t="str">
        <f>tblIndicators!Z53</f>
        <v>4.2.3) Criminal gang activity</v>
      </c>
      <c r="M60" s="181" t="s">
        <v>1411</v>
      </c>
      <c r="N60" s="181" t="s">
        <v>1412</v>
      </c>
      <c r="O60" s="181" t="s">
        <v>1413</v>
      </c>
      <c r="P60" s="181" t="s">
        <v>1414</v>
      </c>
      <c r="Q60" s="181" t="s">
        <v>1415</v>
      </c>
      <c r="R60" s="181" t="s">
        <v>1416</v>
      </c>
      <c r="S60" s="181" t="s">
        <v>1417</v>
      </c>
      <c r="T60" s="181" t="s">
        <v>1418</v>
      </c>
      <c r="U60" s="181" t="s">
        <v>1419</v>
      </c>
      <c r="V60" s="181" t="s">
        <v>1420</v>
      </c>
      <c r="W60" s="181" t="s">
        <v>1421</v>
      </c>
      <c r="X60" s="181" t="s">
        <v>1422</v>
      </c>
      <c r="Y60" s="181" t="s">
        <v>1423</v>
      </c>
      <c r="Z60" s="181" t="s">
        <v>1424</v>
      </c>
      <c r="AA60" s="181" t="s">
        <v>1425</v>
      </c>
      <c r="AB60" s="181"/>
      <c r="AC60" s="181" t="s">
        <v>1426</v>
      </c>
      <c r="AD60" s="181" t="s">
        <v>1427</v>
      </c>
      <c r="AE60" s="181" t="s">
        <v>1428</v>
      </c>
      <c r="AF60" s="181" t="s">
        <v>1429</v>
      </c>
      <c r="AG60" s="181" t="s">
        <v>1430</v>
      </c>
      <c r="AH60" s="181"/>
      <c r="AI60" s="181" t="s">
        <v>1431</v>
      </c>
      <c r="AJ60" s="181" t="s">
        <v>1432</v>
      </c>
      <c r="AK60" s="181" t="s">
        <v>1433</v>
      </c>
      <c r="AL60" s="181"/>
      <c r="AM60" s="181" t="s">
        <v>1434</v>
      </c>
      <c r="AN60" s="181" t="s">
        <v>1354</v>
      </c>
      <c r="AO60" s="181" t="s">
        <v>620</v>
      </c>
      <c r="AP60" s="181" t="s">
        <v>1435</v>
      </c>
      <c r="AQ60" s="181" t="s">
        <v>1436</v>
      </c>
      <c r="AR60" s="181" t="s">
        <v>1437</v>
      </c>
      <c r="AS60" s="181" t="s">
        <v>1438</v>
      </c>
      <c r="AT60" s="181" t="s">
        <v>1439</v>
      </c>
      <c r="AU60" s="181" t="s">
        <v>1440</v>
      </c>
      <c r="AV60" s="181" t="s">
        <v>1441</v>
      </c>
      <c r="AW60" s="181" t="s">
        <v>1442</v>
      </c>
      <c r="AX60" s="181"/>
      <c r="AY60" s="181" t="s">
        <v>1443</v>
      </c>
      <c r="AZ60" s="181"/>
      <c r="BA60" s="181" t="s">
        <v>1444</v>
      </c>
      <c r="BB60" s="181" t="s">
        <v>1445</v>
      </c>
      <c r="BC60" s="181"/>
      <c r="BD60" s="181" t="s">
        <v>1446</v>
      </c>
      <c r="BE60" s="181" t="s">
        <v>1447</v>
      </c>
      <c r="BF60" s="181" t="s">
        <v>1448</v>
      </c>
      <c r="BG60" s="181" t="s">
        <v>1448</v>
      </c>
      <c r="BH60" s="181" t="s">
        <v>1449</v>
      </c>
      <c r="BI60" s="181" t="s">
        <v>1450</v>
      </c>
      <c r="BJ60" s="181" t="s">
        <v>1451</v>
      </c>
    </row>
    <row r="61" s="22" customFormat="1" spans="1:62">
      <c r="A61" s="24">
        <f>tblIndicators!A54</f>
        <v>53</v>
      </c>
      <c r="B61" s="24"/>
      <c r="C61" s="24"/>
      <c r="D61" s="52"/>
      <c r="E61" s="52"/>
      <c r="F61" s="52"/>
      <c r="G61" s="52"/>
      <c r="H61" s="52"/>
      <c r="I61" s="52"/>
      <c r="J61" s="52"/>
      <c r="K61" s="54"/>
      <c r="L61" s="62" t="str">
        <f>tblIndicators!Z54</f>
        <v>4.2.4) Level of corruption in police force</v>
      </c>
      <c r="M61" s="181" t="s">
        <v>1452</v>
      </c>
      <c r="N61" s="181" t="s">
        <v>1453</v>
      </c>
      <c r="O61" s="181" t="s">
        <v>1454</v>
      </c>
      <c r="P61" s="181" t="s">
        <v>1455</v>
      </c>
      <c r="Q61" s="181" t="s">
        <v>1456</v>
      </c>
      <c r="R61" s="181" t="s">
        <v>1457</v>
      </c>
      <c r="S61" s="181" t="s">
        <v>1457</v>
      </c>
      <c r="T61" s="181" t="s">
        <v>1458</v>
      </c>
      <c r="U61" s="181"/>
      <c r="V61" s="181" t="s">
        <v>1459</v>
      </c>
      <c r="W61" s="181" t="s">
        <v>1460</v>
      </c>
      <c r="X61" s="181" t="s">
        <v>1461</v>
      </c>
      <c r="Y61" s="181" t="s">
        <v>1462</v>
      </c>
      <c r="Z61" s="181" t="s">
        <v>1463</v>
      </c>
      <c r="AA61" s="181" t="s">
        <v>1463</v>
      </c>
      <c r="AB61" s="181" t="s">
        <v>1464</v>
      </c>
      <c r="AC61" s="181" t="s">
        <v>1465</v>
      </c>
      <c r="AD61" s="181" t="s">
        <v>1466</v>
      </c>
      <c r="AE61" s="181"/>
      <c r="AF61" s="181"/>
      <c r="AG61" s="181" t="s">
        <v>1467</v>
      </c>
      <c r="AH61" s="181"/>
      <c r="AI61" s="181"/>
      <c r="AJ61" s="181" t="s">
        <v>1468</v>
      </c>
      <c r="AK61" s="181" t="s">
        <v>1469</v>
      </c>
      <c r="AL61" s="181" t="s">
        <v>1470</v>
      </c>
      <c r="AM61" s="181" t="s">
        <v>1471</v>
      </c>
      <c r="AN61" s="181" t="s">
        <v>1464</v>
      </c>
      <c r="AO61" s="181"/>
      <c r="AP61" s="181" t="s">
        <v>1472</v>
      </c>
      <c r="AQ61" s="181" t="s">
        <v>1473</v>
      </c>
      <c r="AR61" s="181" t="s">
        <v>1474</v>
      </c>
      <c r="AS61" s="181" t="s">
        <v>1475</v>
      </c>
      <c r="AT61" s="181" t="s">
        <v>1476</v>
      </c>
      <c r="AU61" s="181" t="s">
        <v>1477</v>
      </c>
      <c r="AV61" s="181" t="s">
        <v>1478</v>
      </c>
      <c r="AW61" s="181" t="s">
        <v>1479</v>
      </c>
      <c r="AX61" s="181" t="s">
        <v>1480</v>
      </c>
      <c r="AY61" s="181" t="s">
        <v>1481</v>
      </c>
      <c r="AZ61" s="181" t="s">
        <v>1482</v>
      </c>
      <c r="BA61" s="181"/>
      <c r="BB61" s="181" t="s">
        <v>1483</v>
      </c>
      <c r="BC61" s="181" t="s">
        <v>1484</v>
      </c>
      <c r="BD61" s="181" t="s">
        <v>1485</v>
      </c>
      <c r="BE61" s="181" t="s">
        <v>1486</v>
      </c>
      <c r="BF61" s="181" t="s">
        <v>1476</v>
      </c>
      <c r="BG61" s="181" t="s">
        <v>1476</v>
      </c>
      <c r="BH61" s="181"/>
      <c r="BI61" s="181" t="s">
        <v>1487</v>
      </c>
      <c r="BJ61" s="181" t="s">
        <v>1488</v>
      </c>
    </row>
    <row r="62" s="22" customFormat="1" spans="1:62">
      <c r="A62" s="24">
        <f>tblIndicators!A55</f>
        <v>54</v>
      </c>
      <c r="B62" s="24"/>
      <c r="C62" s="24"/>
      <c r="D62" s="52"/>
      <c r="E62" s="52"/>
      <c r="F62" s="52"/>
      <c r="G62" s="52"/>
      <c r="H62" s="52"/>
      <c r="I62" s="52"/>
      <c r="J62" s="52"/>
      <c r="K62" s="54"/>
      <c r="L62" s="62" t="str">
        <f>tblIndicators!Z55</f>
        <v>4.2.5) Rate of drug use</v>
      </c>
      <c r="M62" s="181"/>
      <c r="N62" s="181" t="s">
        <v>1489</v>
      </c>
      <c r="O62" s="181" t="s">
        <v>1490</v>
      </c>
      <c r="P62" s="181"/>
      <c r="Q62" s="181" t="s">
        <v>1491</v>
      </c>
      <c r="R62" s="181"/>
      <c r="S62" s="181" t="s">
        <v>1492</v>
      </c>
      <c r="T62" s="181" t="s">
        <v>1275</v>
      </c>
      <c r="U62" s="181"/>
      <c r="V62" s="181" t="s">
        <v>1493</v>
      </c>
      <c r="W62" s="181" t="s">
        <v>1494</v>
      </c>
      <c r="X62" s="181" t="s">
        <v>1495</v>
      </c>
      <c r="Y62" s="181" t="s">
        <v>1496</v>
      </c>
      <c r="Z62" s="181" t="s">
        <v>1497</v>
      </c>
      <c r="AA62" s="181" t="s">
        <v>1498</v>
      </c>
      <c r="AB62" s="181" t="s">
        <v>1499</v>
      </c>
      <c r="AC62" s="181" t="s">
        <v>1500</v>
      </c>
      <c r="AD62" s="181" t="s">
        <v>1501</v>
      </c>
      <c r="AE62" s="181" t="s">
        <v>1502</v>
      </c>
      <c r="AF62" s="181" t="s">
        <v>1503</v>
      </c>
      <c r="AG62" s="181" t="s">
        <v>1504</v>
      </c>
      <c r="AH62" s="181" t="s">
        <v>1505</v>
      </c>
      <c r="AI62" s="181" t="s">
        <v>1503</v>
      </c>
      <c r="AJ62" s="181" t="s">
        <v>1506</v>
      </c>
      <c r="AK62" s="181" t="s">
        <v>1507</v>
      </c>
      <c r="AL62" s="181" t="s">
        <v>1508</v>
      </c>
      <c r="AM62" s="181" t="s">
        <v>1509</v>
      </c>
      <c r="AN62" s="181" t="s">
        <v>1510</v>
      </c>
      <c r="AO62" s="181" t="s">
        <v>1511</v>
      </c>
      <c r="AP62" s="181" t="s">
        <v>1512</v>
      </c>
      <c r="AQ62" s="181" t="s">
        <v>1513</v>
      </c>
      <c r="AR62" s="181" t="s">
        <v>1514</v>
      </c>
      <c r="AS62" s="181" t="s">
        <v>1515</v>
      </c>
      <c r="AT62" s="181" t="s">
        <v>1516</v>
      </c>
      <c r="AU62" s="181" t="s">
        <v>1517</v>
      </c>
      <c r="AV62" s="181" t="s">
        <v>1518</v>
      </c>
      <c r="AW62" s="181" t="s">
        <v>1519</v>
      </c>
      <c r="AX62" s="181" t="s">
        <v>620</v>
      </c>
      <c r="AY62" s="181" t="s">
        <v>1520</v>
      </c>
      <c r="AZ62" s="181" t="s">
        <v>1520</v>
      </c>
      <c r="BA62" s="181" t="s">
        <v>1520</v>
      </c>
      <c r="BB62" s="181" t="s">
        <v>1520</v>
      </c>
      <c r="BC62" s="181" t="s">
        <v>1520</v>
      </c>
      <c r="BD62" s="181" t="s">
        <v>1521</v>
      </c>
      <c r="BE62" s="181" t="s">
        <v>1522</v>
      </c>
      <c r="BF62" s="181" t="s">
        <v>1523</v>
      </c>
      <c r="BG62" s="181" t="s">
        <v>1523</v>
      </c>
      <c r="BH62" s="181"/>
      <c r="BI62" s="181" t="s">
        <v>1524</v>
      </c>
      <c r="BJ62" s="181" t="s">
        <v>1525</v>
      </c>
    </row>
    <row r="63" s="22" customFormat="1" spans="1:62">
      <c r="A63" s="24">
        <f>tblIndicators!A56</f>
        <v>55</v>
      </c>
      <c r="B63" s="24"/>
      <c r="C63" s="24"/>
      <c r="D63" s="52"/>
      <c r="E63" s="52"/>
      <c r="F63" s="52"/>
      <c r="G63" s="52"/>
      <c r="H63" s="52"/>
      <c r="I63" s="52"/>
      <c r="J63" s="52"/>
      <c r="K63" s="54"/>
      <c r="L63" s="62" t="str">
        <f>tblIndicators!Z56</f>
        <v>4.2.6) Frequency of terrorist attacks</v>
      </c>
      <c r="M63" s="181" t="s">
        <v>1526</v>
      </c>
      <c r="N63" s="181" t="s">
        <v>1527</v>
      </c>
      <c r="O63" s="181" t="s">
        <v>1528</v>
      </c>
      <c r="P63" s="181" t="s">
        <v>1529</v>
      </c>
      <c r="Q63" s="181" t="s">
        <v>1530</v>
      </c>
      <c r="R63" s="181" t="s">
        <v>1531</v>
      </c>
      <c r="S63" s="181" t="s">
        <v>1532</v>
      </c>
      <c r="T63" s="181" t="s">
        <v>1533</v>
      </c>
      <c r="U63" s="181" t="s">
        <v>1534</v>
      </c>
      <c r="V63" s="181" t="s">
        <v>1535</v>
      </c>
      <c r="W63" s="181" t="s">
        <v>1536</v>
      </c>
      <c r="X63" s="181" t="s">
        <v>1537</v>
      </c>
      <c r="Y63" s="181" t="s">
        <v>1538</v>
      </c>
      <c r="Z63" s="181" t="s">
        <v>1539</v>
      </c>
      <c r="AA63" s="181" t="s">
        <v>1540</v>
      </c>
      <c r="AB63" s="181" t="s">
        <v>1541</v>
      </c>
      <c r="AC63" s="181" t="s">
        <v>1542</v>
      </c>
      <c r="AD63" s="181" t="s">
        <v>1543</v>
      </c>
      <c r="AE63" s="181" t="s">
        <v>1544</v>
      </c>
      <c r="AF63" s="181" t="s">
        <v>1545</v>
      </c>
      <c r="AG63" s="181" t="s">
        <v>1546</v>
      </c>
      <c r="AH63" s="181" t="s">
        <v>1547</v>
      </c>
      <c r="AI63" s="181" t="s">
        <v>1548</v>
      </c>
      <c r="AJ63" s="181" t="s">
        <v>1549</v>
      </c>
      <c r="AK63" s="181" t="s">
        <v>1550</v>
      </c>
      <c r="AL63" s="181" t="s">
        <v>1551</v>
      </c>
      <c r="AM63" s="181" t="s">
        <v>1552</v>
      </c>
      <c r="AN63" s="181" t="s">
        <v>1553</v>
      </c>
      <c r="AO63" s="181" t="s">
        <v>1554</v>
      </c>
      <c r="AP63" s="181" t="s">
        <v>1555</v>
      </c>
      <c r="AQ63" s="181" t="s">
        <v>1556</v>
      </c>
      <c r="AR63" s="181" t="s">
        <v>1557</v>
      </c>
      <c r="AS63" s="181" t="s">
        <v>1558</v>
      </c>
      <c r="AT63" s="181" t="s">
        <v>1559</v>
      </c>
      <c r="AU63" s="181" t="s">
        <v>1560</v>
      </c>
      <c r="AV63" s="181" t="s">
        <v>1561</v>
      </c>
      <c r="AW63" s="181" t="s">
        <v>1562</v>
      </c>
      <c r="AX63" s="181" t="s">
        <v>1563</v>
      </c>
      <c r="AY63" s="181" t="s">
        <v>1564</v>
      </c>
      <c r="AZ63" s="181" t="s">
        <v>1565</v>
      </c>
      <c r="BA63" s="181" t="s">
        <v>1566</v>
      </c>
      <c r="BB63" s="181" t="s">
        <v>1567</v>
      </c>
      <c r="BC63" s="181" t="s">
        <v>1568</v>
      </c>
      <c r="BD63" s="181" t="s">
        <v>1569</v>
      </c>
      <c r="BE63" s="181" t="s">
        <v>1570</v>
      </c>
      <c r="BF63" s="181" t="s">
        <v>1571</v>
      </c>
      <c r="BG63" s="181" t="s">
        <v>1572</v>
      </c>
      <c r="BH63" s="181" t="s">
        <v>1569</v>
      </c>
      <c r="BI63" s="181" t="s">
        <v>1573</v>
      </c>
      <c r="BJ63" s="181" t="s">
        <v>1574</v>
      </c>
    </row>
    <row r="64" s="22" customFormat="1" spans="1:62">
      <c r="A64" s="24">
        <f>tblIndicators!A57</f>
        <v>56</v>
      </c>
      <c r="B64" s="24"/>
      <c r="C64" s="24"/>
      <c r="D64" s="52"/>
      <c r="E64" s="52"/>
      <c r="F64" s="52"/>
      <c r="G64" s="52"/>
      <c r="H64" s="52"/>
      <c r="I64" s="52"/>
      <c r="J64" s="52"/>
      <c r="K64" s="54"/>
      <c r="L64" s="62" t="str">
        <f>tblIndicators!Z57</f>
        <v>4.2.7) Gender safety</v>
      </c>
      <c r="M64" s="181" t="s">
        <v>1575</v>
      </c>
      <c r="N64" s="181" t="s">
        <v>1576</v>
      </c>
      <c r="O64" s="181" t="s">
        <v>1577</v>
      </c>
      <c r="P64" s="181" t="s">
        <v>1578</v>
      </c>
      <c r="Q64" s="181" t="s">
        <v>1579</v>
      </c>
      <c r="R64" s="181" t="s">
        <v>1580</v>
      </c>
      <c r="S64" s="181" t="s">
        <v>1581</v>
      </c>
      <c r="T64" s="181" t="s">
        <v>1582</v>
      </c>
      <c r="U64" s="181" t="s">
        <v>1582</v>
      </c>
      <c r="V64" s="181" t="s">
        <v>1583</v>
      </c>
      <c r="W64" s="181" t="s">
        <v>1584</v>
      </c>
      <c r="X64" s="181" t="s">
        <v>1584</v>
      </c>
      <c r="Y64" s="181" t="s">
        <v>1585</v>
      </c>
      <c r="Z64" s="181" t="s">
        <v>1586</v>
      </c>
      <c r="AA64" s="181" t="s">
        <v>972</v>
      </c>
      <c r="AB64" s="181" t="s">
        <v>1587</v>
      </c>
      <c r="AC64" s="181" t="s">
        <v>1588</v>
      </c>
      <c r="AD64" s="181" t="s">
        <v>1589</v>
      </c>
      <c r="AE64" s="181" t="s">
        <v>1590</v>
      </c>
      <c r="AF64" s="181" t="s">
        <v>1590</v>
      </c>
      <c r="AG64" s="181" t="s">
        <v>1591</v>
      </c>
      <c r="AH64" s="181" t="s">
        <v>1592</v>
      </c>
      <c r="AI64" s="181" t="s">
        <v>1592</v>
      </c>
      <c r="AJ64" s="181" t="s">
        <v>1284</v>
      </c>
      <c r="AK64" s="181" t="s">
        <v>1593</v>
      </c>
      <c r="AL64" s="181" t="s">
        <v>1286</v>
      </c>
      <c r="AM64" s="181" t="s">
        <v>1594</v>
      </c>
      <c r="AN64" s="181" t="s">
        <v>1595</v>
      </c>
      <c r="AO64" s="181" t="s">
        <v>1596</v>
      </c>
      <c r="AP64" s="181" t="s">
        <v>1597</v>
      </c>
      <c r="AQ64" s="181" t="s">
        <v>1598</v>
      </c>
      <c r="AR64" s="181" t="s">
        <v>1599</v>
      </c>
      <c r="AS64" s="181" t="s">
        <v>1600</v>
      </c>
      <c r="AT64" s="181" t="s">
        <v>1601</v>
      </c>
      <c r="AU64" s="181" t="s">
        <v>1584</v>
      </c>
      <c r="AV64" s="181" t="s">
        <v>1602</v>
      </c>
      <c r="AW64" s="181" t="s">
        <v>1603</v>
      </c>
      <c r="AX64" s="181" t="s">
        <v>1604</v>
      </c>
      <c r="AY64" s="181" t="s">
        <v>1605</v>
      </c>
      <c r="AZ64" s="181" t="s">
        <v>1606</v>
      </c>
      <c r="BA64" s="181" t="s">
        <v>1607</v>
      </c>
      <c r="BB64" s="181" t="s">
        <v>1608</v>
      </c>
      <c r="BC64" s="181" t="s">
        <v>1609</v>
      </c>
      <c r="BD64" s="181" t="s">
        <v>1610</v>
      </c>
      <c r="BE64" s="181" t="s">
        <v>1611</v>
      </c>
      <c r="BF64" s="181" t="s">
        <v>1612</v>
      </c>
      <c r="BG64" s="181" t="s">
        <v>1613</v>
      </c>
      <c r="BH64" s="181" t="s">
        <v>1614</v>
      </c>
      <c r="BI64" s="181" t="s">
        <v>1615</v>
      </c>
      <c r="BJ64" s="181" t="s">
        <v>1304</v>
      </c>
    </row>
    <row r="65" s="22" customFormat="1" spans="1:62">
      <c r="A65" s="24">
        <f>tblIndicators!A58</f>
        <v>57</v>
      </c>
      <c r="B65" s="24"/>
      <c r="C65" s="24"/>
      <c r="D65" s="52"/>
      <c r="E65" s="52"/>
      <c r="F65" s="52"/>
      <c r="G65" s="52"/>
      <c r="H65" s="52"/>
      <c r="I65" s="52"/>
      <c r="J65" s="52"/>
      <c r="K65" s="54"/>
      <c r="L65" s="62" t="str">
        <f>tblIndicators!Z58</f>
        <v>4.2.8) Perceptions of safety</v>
      </c>
      <c r="M65" s="181" t="s">
        <v>1616</v>
      </c>
      <c r="N65" s="181" t="s">
        <v>1616</v>
      </c>
      <c r="O65" s="181" t="s">
        <v>1616</v>
      </c>
      <c r="P65" s="181" t="s">
        <v>1616</v>
      </c>
      <c r="Q65" s="181" t="s">
        <v>1616</v>
      </c>
      <c r="R65" s="181" t="s">
        <v>1616</v>
      </c>
      <c r="S65" s="181" t="s">
        <v>1616</v>
      </c>
      <c r="T65" s="181" t="s">
        <v>1616</v>
      </c>
      <c r="U65" s="181" t="s">
        <v>1616</v>
      </c>
      <c r="V65" s="181" t="s">
        <v>1616</v>
      </c>
      <c r="W65" s="181" t="s">
        <v>1616</v>
      </c>
      <c r="X65" s="181" t="s">
        <v>1616</v>
      </c>
      <c r="Y65" s="181" t="s">
        <v>1616</v>
      </c>
      <c r="Z65" s="181" t="s">
        <v>1616</v>
      </c>
      <c r="AA65" s="181" t="s">
        <v>1616</v>
      </c>
      <c r="AB65" s="181" t="s">
        <v>1616</v>
      </c>
      <c r="AC65" s="181" t="s">
        <v>1616</v>
      </c>
      <c r="AD65" s="181" t="s">
        <v>1616</v>
      </c>
      <c r="AE65" s="181" t="s">
        <v>1616</v>
      </c>
      <c r="AF65" s="181" t="s">
        <v>1616</v>
      </c>
      <c r="AG65" s="181" t="s">
        <v>1616</v>
      </c>
      <c r="AH65" s="181" t="s">
        <v>1616</v>
      </c>
      <c r="AI65" s="181" t="s">
        <v>1616</v>
      </c>
      <c r="AJ65" s="181" t="s">
        <v>1616</v>
      </c>
      <c r="AK65" s="181" t="s">
        <v>1616</v>
      </c>
      <c r="AL65" s="181" t="s">
        <v>1616</v>
      </c>
      <c r="AM65" s="181" t="s">
        <v>1616</v>
      </c>
      <c r="AN65" s="181" t="s">
        <v>1616</v>
      </c>
      <c r="AO65" s="181" t="s">
        <v>1616</v>
      </c>
      <c r="AP65" s="181" t="s">
        <v>1616</v>
      </c>
      <c r="AQ65" s="181" t="s">
        <v>1616</v>
      </c>
      <c r="AR65" s="181" t="s">
        <v>1616</v>
      </c>
      <c r="AS65" s="181" t="s">
        <v>1616</v>
      </c>
      <c r="AT65" s="181" t="s">
        <v>1616</v>
      </c>
      <c r="AU65" s="181" t="s">
        <v>1616</v>
      </c>
      <c r="AV65" s="181" t="s">
        <v>1616</v>
      </c>
      <c r="AW65" s="181" t="s">
        <v>1616</v>
      </c>
      <c r="AX65" s="181" t="s">
        <v>1616</v>
      </c>
      <c r="AY65" s="181" t="s">
        <v>1616</v>
      </c>
      <c r="AZ65" s="181" t="s">
        <v>1616</v>
      </c>
      <c r="BA65" s="181" t="s">
        <v>1616</v>
      </c>
      <c r="BB65" s="181" t="s">
        <v>1616</v>
      </c>
      <c r="BC65" s="181" t="s">
        <v>1616</v>
      </c>
      <c r="BD65" s="181" t="s">
        <v>1616</v>
      </c>
      <c r="BE65" s="181" t="s">
        <v>1616</v>
      </c>
      <c r="BF65" s="181" t="s">
        <v>1616</v>
      </c>
      <c r="BG65" s="181" t="s">
        <v>1616</v>
      </c>
      <c r="BH65" s="181" t="s">
        <v>1616</v>
      </c>
      <c r="BI65" s="181" t="s">
        <v>1616</v>
      </c>
      <c r="BJ65" s="181" t="s">
        <v>1616</v>
      </c>
    </row>
    <row r="66" spans="13:74">
      <c r="M66" s="181"/>
      <c r="N66" s="181"/>
      <c r="O66" s="181"/>
      <c r="P66" s="181"/>
      <c r="Q66" s="181"/>
      <c r="R66" s="181"/>
      <c r="S66" s="181"/>
      <c r="T66" s="181"/>
      <c r="U66" s="181"/>
      <c r="V66" s="181"/>
      <c r="W66" s="181"/>
      <c r="X66" s="181"/>
      <c r="Y66" s="181"/>
      <c r="Z66" s="181"/>
      <c r="AA66" s="181"/>
      <c r="AB66" s="181"/>
      <c r="AC66" s="181"/>
      <c r="AD66" s="181"/>
      <c r="AE66" s="181"/>
      <c r="AF66" s="181"/>
      <c r="AG66" s="181"/>
      <c r="AH66" s="181"/>
      <c r="AI66" s="181"/>
      <c r="AJ66" s="181"/>
      <c r="AK66" s="181"/>
      <c r="AL66" s="181"/>
      <c r="AM66" s="181"/>
      <c r="AN66" s="181"/>
      <c r="AO66" s="181"/>
      <c r="AP66" s="181"/>
      <c r="AQ66" s="181"/>
      <c r="AR66" s="181"/>
      <c r="AS66" s="181"/>
      <c r="AT66" s="181"/>
      <c r="AU66" s="181"/>
      <c r="AV66" s="181"/>
      <c r="AW66" s="181"/>
      <c r="AX66" s="181"/>
      <c r="AY66" s="181"/>
      <c r="AZ66" s="181"/>
      <c r="BA66" s="181"/>
      <c r="BB66" s="181"/>
      <c r="BC66" s="181"/>
      <c r="BD66" s="181"/>
      <c r="BE66" s="181"/>
      <c r="BF66" s="181"/>
      <c r="BG66" s="181"/>
      <c r="BH66" s="181"/>
      <c r="BI66" s="181"/>
      <c r="BJ66" s="181"/>
      <c r="BK66" s="22"/>
      <c r="BL66" s="22"/>
      <c r="BM66" s="22"/>
      <c r="BN66" s="22"/>
      <c r="BO66" s="22"/>
      <c r="BP66" s="22"/>
      <c r="BQ66" s="22"/>
      <c r="BR66" s="22"/>
      <c r="BS66" s="22"/>
      <c r="BT66" s="22"/>
      <c r="BU66" s="22"/>
      <c r="BV66" s="22"/>
    </row>
    <row r="67" spans="13:36">
      <c r="M67" s="65"/>
      <c r="N67" s="65"/>
      <c r="O67" s="65"/>
      <c r="P67" s="65"/>
      <c r="Q67" s="65"/>
      <c r="R67" s="65"/>
      <c r="S67" s="65"/>
      <c r="T67" s="65"/>
      <c r="U67" s="65"/>
      <c r="V67" s="65"/>
      <c r="W67" s="65"/>
      <c r="X67" s="65"/>
      <c r="Y67" s="65"/>
      <c r="Z67" s="65"/>
      <c r="AA67" s="65"/>
      <c r="AB67" s="65"/>
      <c r="AC67" s="65"/>
      <c r="AD67" s="65"/>
      <c r="AE67" s="65"/>
      <c r="AF67" s="65"/>
      <c r="AG67" s="65"/>
      <c r="AH67" s="65"/>
      <c r="AI67" s="65"/>
      <c r="AJ67" s="65"/>
    </row>
    <row r="68" spans="13:36">
      <c r="M68" s="65"/>
      <c r="N68" s="65"/>
      <c r="O68" s="65"/>
      <c r="P68" s="65"/>
      <c r="Q68" s="65"/>
      <c r="R68" s="65"/>
      <c r="S68" s="65"/>
      <c r="T68" s="65"/>
      <c r="U68" s="65"/>
      <c r="V68" s="65"/>
      <c r="W68" s="65"/>
      <c r="X68" s="65"/>
      <c r="Y68" s="65"/>
      <c r="Z68" s="65"/>
      <c r="AA68" s="65"/>
      <c r="AB68" s="65"/>
      <c r="AC68" s="65"/>
      <c r="AD68" s="65"/>
      <c r="AE68" s="65"/>
      <c r="AF68" s="65"/>
      <c r="AG68" s="65"/>
      <c r="AH68" s="65"/>
      <c r="AI68" s="65"/>
      <c r="AJ68" s="65"/>
    </row>
    <row r="69" spans="13:36">
      <c r="M69" s="65"/>
      <c r="N69" s="65"/>
      <c r="O69" s="65"/>
      <c r="P69" s="65"/>
      <c r="Q69" s="65"/>
      <c r="R69" s="65"/>
      <c r="S69" s="65"/>
      <c r="T69" s="65"/>
      <c r="U69" s="65"/>
      <c r="V69" s="65"/>
      <c r="W69" s="65"/>
      <c r="X69" s="65"/>
      <c r="Y69" s="65"/>
      <c r="Z69" s="65"/>
      <c r="AA69" s="65"/>
      <c r="AB69" s="65"/>
      <c r="AC69" s="65"/>
      <c r="AD69" s="65"/>
      <c r="AE69" s="65"/>
      <c r="AF69" s="65"/>
      <c r="AG69" s="65"/>
      <c r="AH69" s="65"/>
      <c r="AI69" s="65"/>
      <c r="AJ69" s="65"/>
    </row>
    <row r="70" spans="13:36">
      <c r="M70" s="65"/>
      <c r="N70" s="65"/>
      <c r="O70" s="65"/>
      <c r="P70" s="65"/>
      <c r="Q70" s="65"/>
      <c r="R70" s="65"/>
      <c r="S70" s="65"/>
      <c r="T70" s="65"/>
      <c r="U70" s="65"/>
      <c r="V70" s="65"/>
      <c r="W70" s="65"/>
      <c r="X70" s="65"/>
      <c r="Y70" s="65"/>
      <c r="Z70" s="65"/>
      <c r="AA70" s="65"/>
      <c r="AB70" s="65"/>
      <c r="AC70" s="65"/>
      <c r="AD70" s="65"/>
      <c r="AE70" s="65"/>
      <c r="AF70" s="65"/>
      <c r="AG70" s="65"/>
      <c r="AH70" s="65"/>
      <c r="AI70" s="65"/>
      <c r="AJ70" s="65"/>
    </row>
    <row r="71" spans="13:36">
      <c r="M71" s="65"/>
      <c r="N71" s="65"/>
      <c r="O71" s="65"/>
      <c r="P71" s="65"/>
      <c r="Q71" s="65"/>
      <c r="R71" s="65"/>
      <c r="S71" s="65"/>
      <c r="T71" s="65"/>
      <c r="U71" s="65"/>
      <c r="V71" s="65"/>
      <c r="W71" s="65"/>
      <c r="X71" s="65"/>
      <c r="Y71" s="65"/>
      <c r="Z71" s="65"/>
      <c r="AA71" s="65"/>
      <c r="AB71" s="65"/>
      <c r="AC71" s="65"/>
      <c r="AD71" s="65"/>
      <c r="AE71" s="65"/>
      <c r="AF71" s="65"/>
      <c r="AG71" s="65"/>
      <c r="AH71" s="65"/>
      <c r="AI71" s="65"/>
      <c r="AJ71" s="65"/>
    </row>
    <row r="72" spans="13:36">
      <c r="M72" s="65"/>
      <c r="N72" s="65"/>
      <c r="O72" s="65"/>
      <c r="P72" s="65"/>
      <c r="Q72" s="65"/>
      <c r="R72" s="65"/>
      <c r="S72" s="65"/>
      <c r="T72" s="65"/>
      <c r="U72" s="65"/>
      <c r="V72" s="65"/>
      <c r="W72" s="65"/>
      <c r="X72" s="65"/>
      <c r="Y72" s="65"/>
      <c r="Z72" s="65"/>
      <c r="AA72" s="65"/>
      <c r="AB72" s="65"/>
      <c r="AC72" s="65"/>
      <c r="AD72" s="65"/>
      <c r="AE72" s="65"/>
      <c r="AF72" s="65"/>
      <c r="AG72" s="65"/>
      <c r="AH72" s="65"/>
      <c r="AI72" s="65"/>
      <c r="AJ72" s="65"/>
    </row>
    <row r="73" spans="13:36">
      <c r="M73" s="65"/>
      <c r="N73" s="65"/>
      <c r="O73" s="65"/>
      <c r="P73" s="65"/>
      <c r="Q73" s="65"/>
      <c r="R73" s="65"/>
      <c r="S73" s="65"/>
      <c r="T73" s="65"/>
      <c r="U73" s="65"/>
      <c r="V73" s="65"/>
      <c r="W73" s="65"/>
      <c r="X73" s="65"/>
      <c r="Y73" s="65"/>
      <c r="Z73" s="65"/>
      <c r="AA73" s="65"/>
      <c r="AB73" s="65"/>
      <c r="AC73" s="65"/>
      <c r="AD73" s="65"/>
      <c r="AE73" s="65"/>
      <c r="AF73" s="65"/>
      <c r="AG73" s="65"/>
      <c r="AH73" s="65"/>
      <c r="AI73" s="65"/>
      <c r="AJ73" s="65"/>
    </row>
    <row r="74" spans="13:36">
      <c r="M74" s="65"/>
      <c r="N74" s="65"/>
      <c r="O74" s="65"/>
      <c r="P74" s="65"/>
      <c r="Q74" s="65"/>
      <c r="R74" s="65"/>
      <c r="S74" s="65"/>
      <c r="T74" s="65"/>
      <c r="U74" s="65"/>
      <c r="V74" s="65"/>
      <c r="W74" s="65"/>
      <c r="X74" s="65"/>
      <c r="Y74" s="65"/>
      <c r="Z74" s="65"/>
      <c r="AA74" s="65"/>
      <c r="AB74" s="65"/>
      <c r="AC74" s="65"/>
      <c r="AD74" s="65"/>
      <c r="AE74" s="65"/>
      <c r="AF74" s="65"/>
      <c r="AG74" s="65"/>
      <c r="AH74" s="65"/>
      <c r="AI74" s="65"/>
      <c r="AJ74" s="65"/>
    </row>
    <row r="75" spans="13:36">
      <c r="M75" s="65"/>
      <c r="N75" s="65"/>
      <c r="O75" s="65"/>
      <c r="P75" s="65"/>
      <c r="Q75" s="65"/>
      <c r="R75" s="65"/>
      <c r="S75" s="65"/>
      <c r="T75" s="65"/>
      <c r="U75" s="65"/>
      <c r="V75" s="65"/>
      <c r="W75" s="65"/>
      <c r="X75" s="65"/>
      <c r="Y75" s="65"/>
      <c r="Z75" s="65"/>
      <c r="AA75" s="65"/>
      <c r="AB75" s="65"/>
      <c r="AC75" s="65"/>
      <c r="AD75" s="65"/>
      <c r="AE75" s="65"/>
      <c r="AF75" s="65"/>
      <c r="AG75" s="65"/>
      <c r="AH75" s="65"/>
      <c r="AI75" s="65"/>
      <c r="AJ75" s="65"/>
    </row>
    <row r="76" spans="13:36">
      <c r="M76" s="65"/>
      <c r="N76" s="65"/>
      <c r="O76" s="65"/>
      <c r="P76" s="65"/>
      <c r="Q76" s="65"/>
      <c r="R76" s="65"/>
      <c r="S76" s="65"/>
      <c r="T76" s="65"/>
      <c r="U76" s="65"/>
      <c r="V76" s="65"/>
      <c r="W76" s="65"/>
      <c r="X76" s="65"/>
      <c r="Y76" s="65"/>
      <c r="Z76" s="65"/>
      <c r="AA76" s="65"/>
      <c r="AB76" s="65"/>
      <c r="AC76" s="65"/>
      <c r="AD76" s="65"/>
      <c r="AE76" s="65"/>
      <c r="AF76" s="65"/>
      <c r="AG76" s="65"/>
      <c r="AH76" s="65"/>
      <c r="AI76" s="65"/>
      <c r="AJ76" s="65"/>
    </row>
    <row r="77" spans="13:36">
      <c r="M77" s="65"/>
      <c r="N77" s="65"/>
      <c r="O77" s="65"/>
      <c r="P77" s="65"/>
      <c r="Q77" s="65"/>
      <c r="R77" s="65"/>
      <c r="S77" s="65"/>
      <c r="T77" s="65"/>
      <c r="U77" s="65"/>
      <c r="V77" s="65"/>
      <c r="W77" s="65"/>
      <c r="X77" s="65"/>
      <c r="Y77" s="65"/>
      <c r="Z77" s="65"/>
      <c r="AA77" s="65"/>
      <c r="AB77" s="65"/>
      <c r="AC77" s="65"/>
      <c r="AD77" s="65"/>
      <c r="AE77" s="65"/>
      <c r="AF77" s="65"/>
      <c r="AG77" s="65"/>
      <c r="AH77" s="65"/>
      <c r="AI77" s="65"/>
      <c r="AJ77" s="65"/>
    </row>
    <row r="78" spans="13:36">
      <c r="M78" s="65"/>
      <c r="N78" s="65"/>
      <c r="O78" s="65"/>
      <c r="P78" s="65"/>
      <c r="Q78" s="65"/>
      <c r="R78" s="65"/>
      <c r="S78" s="65"/>
      <c r="T78" s="65"/>
      <c r="U78" s="65"/>
      <c r="V78" s="65"/>
      <c r="W78" s="65"/>
      <c r="X78" s="65"/>
      <c r="Y78" s="65"/>
      <c r="Z78" s="65"/>
      <c r="AA78" s="65"/>
      <c r="AB78" s="65"/>
      <c r="AC78" s="65"/>
      <c r="AD78" s="65"/>
      <c r="AE78" s="65"/>
      <c r="AF78" s="65"/>
      <c r="AG78" s="65"/>
      <c r="AH78" s="65"/>
      <c r="AI78" s="65"/>
      <c r="AJ78" s="65"/>
    </row>
    <row r="79" spans="13:36">
      <c r="M79" s="65"/>
      <c r="N79" s="65"/>
      <c r="O79" s="65"/>
      <c r="P79" s="65"/>
      <c r="Q79" s="65"/>
      <c r="R79" s="65"/>
      <c r="S79" s="65"/>
      <c r="T79" s="65"/>
      <c r="U79" s="65"/>
      <c r="V79" s="65"/>
      <c r="W79" s="65"/>
      <c r="X79" s="65"/>
      <c r="Y79" s="65"/>
      <c r="Z79" s="65"/>
      <c r="AA79" s="65"/>
      <c r="AB79" s="65"/>
      <c r="AC79" s="65"/>
      <c r="AD79" s="65"/>
      <c r="AE79" s="65"/>
      <c r="AF79" s="65"/>
      <c r="AG79" s="65"/>
      <c r="AH79" s="65"/>
      <c r="AI79" s="65"/>
      <c r="AJ79" s="65"/>
    </row>
    <row r="80" spans="13:36">
      <c r="M80" s="65"/>
      <c r="N80" s="65"/>
      <c r="O80" s="65"/>
      <c r="P80" s="65"/>
      <c r="Q80" s="65"/>
      <c r="R80" s="65"/>
      <c r="S80" s="65"/>
      <c r="T80" s="65"/>
      <c r="U80" s="65"/>
      <c r="V80" s="65"/>
      <c r="W80" s="65"/>
      <c r="X80" s="65"/>
      <c r="Y80" s="65"/>
      <c r="Z80" s="65"/>
      <c r="AA80" s="65"/>
      <c r="AB80" s="65"/>
      <c r="AC80" s="65"/>
      <c r="AD80" s="65"/>
      <c r="AE80" s="65"/>
      <c r="AF80" s="65"/>
      <c r="AG80" s="65"/>
      <c r="AH80" s="65"/>
      <c r="AI80" s="65"/>
      <c r="AJ80" s="65"/>
    </row>
    <row r="81" spans="13:36">
      <c r="M81" s="65"/>
      <c r="N81" s="65"/>
      <c r="O81" s="65"/>
      <c r="P81" s="65"/>
      <c r="Q81" s="65"/>
      <c r="R81" s="65"/>
      <c r="S81" s="65"/>
      <c r="T81" s="65"/>
      <c r="U81" s="65"/>
      <c r="V81" s="65"/>
      <c r="W81" s="65"/>
      <c r="X81" s="65"/>
      <c r="Y81" s="65"/>
      <c r="Z81" s="65"/>
      <c r="AA81" s="65"/>
      <c r="AB81" s="65"/>
      <c r="AC81" s="65"/>
      <c r="AD81" s="65"/>
      <c r="AE81" s="65"/>
      <c r="AF81" s="65"/>
      <c r="AG81" s="65"/>
      <c r="AH81" s="65"/>
      <c r="AI81" s="65"/>
      <c r="AJ81" s="65"/>
    </row>
    <row r="82" spans="13:36">
      <c r="M82" s="65"/>
      <c r="N82" s="65"/>
      <c r="O82" s="65"/>
      <c r="P82" s="65"/>
      <c r="Q82" s="65"/>
      <c r="R82" s="65"/>
      <c r="S82" s="65"/>
      <c r="T82" s="65"/>
      <c r="U82" s="65"/>
      <c r="V82" s="65"/>
      <c r="W82" s="65"/>
      <c r="X82" s="65"/>
      <c r="Y82" s="65"/>
      <c r="Z82" s="65"/>
      <c r="AA82" s="65"/>
      <c r="AB82" s="65"/>
      <c r="AC82" s="65"/>
      <c r="AD82" s="65"/>
      <c r="AE82" s="65"/>
      <c r="AF82" s="65"/>
      <c r="AG82" s="65"/>
      <c r="AH82" s="65"/>
      <c r="AI82" s="65"/>
      <c r="AJ82" s="65"/>
    </row>
    <row r="83" spans="13:36">
      <c r="M83" s="65"/>
      <c r="N83" s="65"/>
      <c r="O83" s="65"/>
      <c r="P83" s="65"/>
      <c r="Q83" s="65"/>
      <c r="R83" s="65"/>
      <c r="S83" s="65"/>
      <c r="T83" s="65"/>
      <c r="U83" s="65"/>
      <c r="V83" s="65"/>
      <c r="W83" s="65"/>
      <c r="X83" s="65"/>
      <c r="Y83" s="65"/>
      <c r="Z83" s="65"/>
      <c r="AA83" s="65"/>
      <c r="AB83" s="65"/>
      <c r="AC83" s="65"/>
      <c r="AD83" s="65"/>
      <c r="AE83" s="65"/>
      <c r="AF83" s="65"/>
      <c r="AG83" s="65"/>
      <c r="AH83" s="65"/>
      <c r="AI83" s="65"/>
      <c r="AJ83" s="65"/>
    </row>
    <row r="84" spans="13:36">
      <c r="M84" s="65"/>
      <c r="N84" s="65"/>
      <c r="O84" s="65"/>
      <c r="P84" s="65"/>
      <c r="Q84" s="65"/>
      <c r="R84" s="65"/>
      <c r="S84" s="65"/>
      <c r="T84" s="65"/>
      <c r="U84" s="65"/>
      <c r="V84" s="65"/>
      <c r="W84" s="65"/>
      <c r="X84" s="65"/>
      <c r="Y84" s="65"/>
      <c r="Z84" s="65"/>
      <c r="AA84" s="65"/>
      <c r="AB84" s="65"/>
      <c r="AC84" s="65"/>
      <c r="AD84" s="65"/>
      <c r="AE84" s="65"/>
      <c r="AF84" s="65"/>
      <c r="AG84" s="65"/>
      <c r="AH84" s="65"/>
      <c r="AI84" s="65"/>
      <c r="AJ84" s="65"/>
    </row>
    <row r="85" spans="13:36">
      <c r="M85" s="65"/>
      <c r="N85" s="65"/>
      <c r="O85" s="65"/>
      <c r="P85" s="65"/>
      <c r="Q85" s="65"/>
      <c r="R85" s="65"/>
      <c r="S85" s="65"/>
      <c r="T85" s="65"/>
      <c r="U85" s="65"/>
      <c r="V85" s="65"/>
      <c r="W85" s="65"/>
      <c r="X85" s="65"/>
      <c r="Y85" s="65"/>
      <c r="Z85" s="65"/>
      <c r="AA85" s="65"/>
      <c r="AB85" s="65"/>
      <c r="AC85" s="65"/>
      <c r="AD85" s="65"/>
      <c r="AE85" s="65"/>
      <c r="AF85" s="65"/>
      <c r="AG85" s="65"/>
      <c r="AH85" s="65"/>
      <c r="AI85" s="65"/>
      <c r="AJ85" s="65"/>
    </row>
    <row r="86" spans="13:36">
      <c r="M86" s="65"/>
      <c r="N86" s="65"/>
      <c r="O86" s="65"/>
      <c r="P86" s="65"/>
      <c r="Q86" s="65"/>
      <c r="R86" s="65"/>
      <c r="S86" s="65"/>
      <c r="T86" s="65"/>
      <c r="U86" s="65"/>
      <c r="V86" s="65"/>
      <c r="W86" s="65"/>
      <c r="X86" s="65"/>
      <c r="Y86" s="65"/>
      <c r="Z86" s="65"/>
      <c r="AA86" s="65"/>
      <c r="AB86" s="65"/>
      <c r="AC86" s="65"/>
      <c r="AD86" s="65"/>
      <c r="AE86" s="65"/>
      <c r="AF86" s="65"/>
      <c r="AG86" s="65"/>
      <c r="AH86" s="65"/>
      <c r="AI86" s="65"/>
      <c r="AJ86" s="65"/>
    </row>
    <row r="87" spans="13:36">
      <c r="M87" s="65"/>
      <c r="N87" s="65"/>
      <c r="O87" s="65"/>
      <c r="P87" s="65"/>
      <c r="Q87" s="65"/>
      <c r="R87" s="65"/>
      <c r="S87" s="65"/>
      <c r="T87" s="65"/>
      <c r="U87" s="65"/>
      <c r="V87" s="65"/>
      <c r="W87" s="65"/>
      <c r="X87" s="65"/>
      <c r="Y87" s="65"/>
      <c r="Z87" s="65"/>
      <c r="AA87" s="65"/>
      <c r="AB87" s="65"/>
      <c r="AC87" s="65"/>
      <c r="AD87" s="65"/>
      <c r="AE87" s="65"/>
      <c r="AF87" s="65"/>
      <c r="AG87" s="65"/>
      <c r="AH87" s="65"/>
      <c r="AI87" s="65"/>
      <c r="AJ87" s="65"/>
    </row>
    <row r="88" spans="13:36">
      <c r="M88" s="65"/>
      <c r="N88" s="65"/>
      <c r="O88" s="65"/>
      <c r="P88" s="65"/>
      <c r="Q88" s="65"/>
      <c r="R88" s="65"/>
      <c r="S88" s="65"/>
      <c r="T88" s="65"/>
      <c r="U88" s="65"/>
      <c r="V88" s="65"/>
      <c r="W88" s="65"/>
      <c r="X88" s="65"/>
      <c r="Y88" s="65"/>
      <c r="Z88" s="65"/>
      <c r="AA88" s="65"/>
      <c r="AB88" s="65"/>
      <c r="AC88" s="65"/>
      <c r="AD88" s="65"/>
      <c r="AE88" s="65"/>
      <c r="AF88" s="65"/>
      <c r="AG88" s="65"/>
      <c r="AH88" s="65"/>
      <c r="AI88" s="65"/>
      <c r="AJ88" s="65"/>
    </row>
    <row r="89" spans="13:36">
      <c r="M89" s="65"/>
      <c r="N89" s="65"/>
      <c r="O89" s="65"/>
      <c r="P89" s="65"/>
      <c r="Q89" s="65"/>
      <c r="R89" s="65"/>
      <c r="S89" s="65"/>
      <c r="T89" s="65"/>
      <c r="U89" s="65"/>
      <c r="V89" s="65"/>
      <c r="W89" s="65"/>
      <c r="X89" s="65"/>
      <c r="Y89" s="65"/>
      <c r="Z89" s="65"/>
      <c r="AA89" s="65"/>
      <c r="AB89" s="65"/>
      <c r="AC89" s="65"/>
      <c r="AD89" s="65"/>
      <c r="AE89" s="65"/>
      <c r="AF89" s="65"/>
      <c r="AG89" s="65"/>
      <c r="AH89" s="65"/>
      <c r="AI89" s="65"/>
      <c r="AJ89" s="65"/>
    </row>
    <row r="90" spans="13:36">
      <c r="M90" s="65"/>
      <c r="N90" s="65"/>
      <c r="O90" s="65"/>
      <c r="P90" s="65"/>
      <c r="Q90" s="65"/>
      <c r="R90" s="65"/>
      <c r="S90" s="65"/>
      <c r="T90" s="65"/>
      <c r="U90" s="65"/>
      <c r="V90" s="65"/>
      <c r="W90" s="65"/>
      <c r="X90" s="65"/>
      <c r="Y90" s="65"/>
      <c r="Z90" s="65"/>
      <c r="AA90" s="65"/>
      <c r="AB90" s="65"/>
      <c r="AC90" s="65"/>
      <c r="AD90" s="65"/>
      <c r="AE90" s="65"/>
      <c r="AF90" s="65"/>
      <c r="AG90" s="65"/>
      <c r="AH90" s="65"/>
      <c r="AI90" s="65"/>
      <c r="AJ90" s="65"/>
    </row>
    <row r="91" spans="13:36">
      <c r="M91" s="65"/>
      <c r="N91" s="65"/>
      <c r="O91" s="65"/>
      <c r="P91" s="65"/>
      <c r="Q91" s="65"/>
      <c r="R91" s="65"/>
      <c r="S91" s="65"/>
      <c r="T91" s="65"/>
      <c r="U91" s="65"/>
      <c r="V91" s="65"/>
      <c r="W91" s="65"/>
      <c r="X91" s="65"/>
      <c r="Y91" s="65"/>
      <c r="Z91" s="65"/>
      <c r="AA91" s="65"/>
      <c r="AB91" s="65"/>
      <c r="AC91" s="65"/>
      <c r="AD91" s="65"/>
      <c r="AE91" s="65"/>
      <c r="AF91" s="65"/>
      <c r="AG91" s="65"/>
      <c r="AH91" s="65"/>
      <c r="AI91" s="65"/>
      <c r="AJ91" s="65"/>
    </row>
    <row r="92" spans="13:36">
      <c r="M92" s="65"/>
      <c r="N92" s="65"/>
      <c r="O92" s="65"/>
      <c r="P92" s="65"/>
      <c r="Q92" s="65"/>
      <c r="R92" s="65"/>
      <c r="S92" s="65"/>
      <c r="T92" s="65"/>
      <c r="U92" s="65"/>
      <c r="V92" s="65"/>
      <c r="W92" s="65"/>
      <c r="X92" s="65"/>
      <c r="Y92" s="65"/>
      <c r="Z92" s="65"/>
      <c r="AA92" s="65"/>
      <c r="AB92" s="65"/>
      <c r="AC92" s="65"/>
      <c r="AD92" s="65"/>
      <c r="AE92" s="65"/>
      <c r="AF92" s="65"/>
      <c r="AG92" s="65"/>
      <c r="AH92" s="65"/>
      <c r="AI92" s="65"/>
      <c r="AJ92" s="65"/>
    </row>
    <row r="93" spans="13:36">
      <c r="M93" s="65"/>
      <c r="N93" s="65"/>
      <c r="O93" s="65"/>
      <c r="P93" s="65"/>
      <c r="Q93" s="65"/>
      <c r="R93" s="65"/>
      <c r="S93" s="65"/>
      <c r="T93" s="65"/>
      <c r="U93" s="65"/>
      <c r="V93" s="65"/>
      <c r="W93" s="65"/>
      <c r="X93" s="65"/>
      <c r="Y93" s="65"/>
      <c r="Z93" s="65"/>
      <c r="AA93" s="65"/>
      <c r="AB93" s="65"/>
      <c r="AC93" s="65"/>
      <c r="AD93" s="65"/>
      <c r="AE93" s="65"/>
      <c r="AF93" s="65"/>
      <c r="AG93" s="65"/>
      <c r="AH93" s="65"/>
      <c r="AI93" s="65"/>
      <c r="AJ93" s="65"/>
    </row>
    <row r="94" spans="13:36">
      <c r="M94" s="65"/>
      <c r="N94" s="65"/>
      <c r="O94" s="65"/>
      <c r="P94" s="65"/>
      <c r="Q94" s="65"/>
      <c r="R94" s="65"/>
      <c r="S94" s="65"/>
      <c r="T94" s="65"/>
      <c r="U94" s="65"/>
      <c r="V94" s="65"/>
      <c r="W94" s="65"/>
      <c r="X94" s="65"/>
      <c r="Y94" s="65"/>
      <c r="Z94" s="65"/>
      <c r="AA94" s="65"/>
      <c r="AB94" s="65"/>
      <c r="AC94" s="65"/>
      <c r="AD94" s="65"/>
      <c r="AE94" s="65"/>
      <c r="AF94" s="65"/>
      <c r="AG94" s="65"/>
      <c r="AH94" s="65"/>
      <c r="AI94" s="65"/>
      <c r="AJ94" s="65"/>
    </row>
    <row r="95" spans="13:36">
      <c r="M95" s="65"/>
      <c r="N95" s="65"/>
      <c r="O95" s="65"/>
      <c r="P95" s="65"/>
      <c r="Q95" s="65"/>
      <c r="R95" s="65"/>
      <c r="S95" s="65"/>
      <c r="T95" s="65"/>
      <c r="U95" s="65"/>
      <c r="V95" s="65"/>
      <c r="W95" s="65"/>
      <c r="X95" s="65"/>
      <c r="Y95" s="65"/>
      <c r="Z95" s="65"/>
      <c r="AA95" s="65"/>
      <c r="AB95" s="65"/>
      <c r="AC95" s="65"/>
      <c r="AD95" s="65"/>
      <c r="AE95" s="65"/>
      <c r="AF95" s="65"/>
      <c r="AG95" s="65"/>
      <c r="AH95" s="65"/>
      <c r="AI95" s="65"/>
      <c r="AJ95" s="65"/>
    </row>
    <row r="96" spans="13:36">
      <c r="M96" s="65"/>
      <c r="N96" s="65"/>
      <c r="O96" s="65"/>
      <c r="P96" s="65"/>
      <c r="Q96" s="65"/>
      <c r="R96" s="65"/>
      <c r="S96" s="65"/>
      <c r="T96" s="65"/>
      <c r="U96" s="65"/>
      <c r="V96" s="65"/>
      <c r="W96" s="65"/>
      <c r="X96" s="65"/>
      <c r="Y96" s="65"/>
      <c r="Z96" s="65"/>
      <c r="AA96" s="65"/>
      <c r="AB96" s="65"/>
      <c r="AC96" s="65"/>
      <c r="AD96" s="65"/>
      <c r="AE96" s="65"/>
      <c r="AF96" s="65"/>
      <c r="AG96" s="65"/>
      <c r="AH96" s="65"/>
      <c r="AI96" s="65"/>
      <c r="AJ96" s="65"/>
    </row>
    <row r="97" spans="13:36">
      <c r="M97" s="65"/>
      <c r="N97" s="65"/>
      <c r="O97" s="65"/>
      <c r="P97" s="65"/>
      <c r="Q97" s="65"/>
      <c r="R97" s="65"/>
      <c r="S97" s="65"/>
      <c r="T97" s="65"/>
      <c r="U97" s="65"/>
      <c r="V97" s="65"/>
      <c r="W97" s="65"/>
      <c r="X97" s="65"/>
      <c r="Y97" s="65"/>
      <c r="Z97" s="65"/>
      <c r="AA97" s="65"/>
      <c r="AB97" s="65"/>
      <c r="AC97" s="65"/>
      <c r="AD97" s="65"/>
      <c r="AE97" s="65"/>
      <c r="AF97" s="65"/>
      <c r="AG97" s="65"/>
      <c r="AH97" s="65"/>
      <c r="AI97" s="65"/>
      <c r="AJ97" s="65"/>
    </row>
    <row r="98" spans="13:36">
      <c r="M98" s="65"/>
      <c r="N98" s="65"/>
      <c r="O98" s="65"/>
      <c r="P98" s="65"/>
      <c r="Q98" s="65"/>
      <c r="R98" s="65"/>
      <c r="S98" s="65"/>
      <c r="T98" s="65"/>
      <c r="U98" s="65"/>
      <c r="V98" s="65"/>
      <c r="W98" s="65"/>
      <c r="X98" s="65"/>
      <c r="Y98" s="65"/>
      <c r="Z98" s="65"/>
      <c r="AA98" s="65"/>
      <c r="AB98" s="65"/>
      <c r="AC98" s="65"/>
      <c r="AD98" s="65"/>
      <c r="AE98" s="65"/>
      <c r="AF98" s="65"/>
      <c r="AG98" s="65"/>
      <c r="AH98" s="65"/>
      <c r="AI98" s="65"/>
      <c r="AJ98" s="65"/>
    </row>
    <row r="99" spans="13:36">
      <c r="M99" s="65"/>
      <c r="N99" s="65"/>
      <c r="O99" s="65"/>
      <c r="P99" s="65"/>
      <c r="Q99" s="65"/>
      <c r="R99" s="65"/>
      <c r="S99" s="65"/>
      <c r="T99" s="65"/>
      <c r="U99" s="65"/>
      <c r="V99" s="65"/>
      <c r="W99" s="65"/>
      <c r="X99" s="65"/>
      <c r="Y99" s="65"/>
      <c r="Z99" s="65"/>
      <c r="AA99" s="65"/>
      <c r="AB99" s="65"/>
      <c r="AC99" s="65"/>
      <c r="AD99" s="65"/>
      <c r="AE99" s="65"/>
      <c r="AF99" s="65"/>
      <c r="AG99" s="65"/>
      <c r="AH99" s="65"/>
      <c r="AI99" s="65"/>
      <c r="AJ99" s="65"/>
    </row>
    <row r="100" spans="13:36">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row>
    <row r="101" spans="13:36">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row>
    <row r="102" spans="13:36">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row>
    <row r="103" spans="13:36">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row>
    <row r="104" spans="13:36">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row>
    <row r="105" spans="13:36">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row>
    <row r="106" spans="13:36">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row>
    <row r="107" spans="13:36">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row>
    <row r="108" spans="12:12">
      <c r="L108" s="1"/>
    </row>
  </sheetData>
  <sheetProtection selectLockedCells="1" selectUnlockedCells="1"/>
  <pageMargins left="0.7" right="0.7" top="0.75" bottom="0.75" header="0.3" footer="0.3"/>
  <pageSetup paperSize="1" scale="32" orientation="landscape"/>
  <headerFooter>
    <oddHeader>&amp;R&amp;"Calibri"&amp;10&amp;K808080EIU / HUAWEI ICT GLOBALISATION INDEX 2013</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FFC000"/>
    <pageSetUpPr fitToPage="1"/>
  </sheetPr>
  <dimension ref="A1:BK107"/>
  <sheetViews>
    <sheetView showGridLines="0" workbookViewId="0">
      <pane ySplit="8" topLeftCell="A39" activePane="bottomLeft" state="frozen"/>
      <selection/>
      <selection pane="bottomLeft" activeCell="A39" sqref="A39"/>
    </sheetView>
  </sheetViews>
  <sheetFormatPr defaultColWidth="9" defaultRowHeight="15"/>
  <cols>
    <col min="1" max="1" width="3.42857142857143" customWidth="1"/>
    <col min="2" max="2" width="7" hidden="1" customWidth="1"/>
    <col min="3" max="3" width="8.14285714285714" hidden="1" customWidth="1"/>
    <col min="4" max="4" width="5.14285714285714" hidden="1" customWidth="1"/>
    <col min="5" max="5" width="15.5714285714286" hidden="1" customWidth="1"/>
    <col min="6" max="6" width="22.1428571428571" hidden="1" customWidth="1"/>
    <col min="7" max="8" width="10.7142857142857" hidden="1" customWidth="1"/>
    <col min="9" max="9" width="3.57142857142857" customWidth="1"/>
    <col min="10" max="10" width="3.85714285714286" customWidth="1"/>
    <col min="11" max="11" width="3.14285714285714" customWidth="1"/>
    <col min="12" max="12" width="63" customWidth="1"/>
    <col min="13" max="13" width="7" customWidth="1"/>
    <col min="14" max="22" width="10.4285714285714" customWidth="1"/>
    <col min="23" max="23" width="12" customWidth="1"/>
    <col min="24" max="25" width="10.4285714285714" customWidth="1"/>
    <col min="26" max="26" width="11.5714285714286" customWidth="1"/>
    <col min="27" max="29" width="10.4285714285714" customWidth="1"/>
    <col min="30" max="30" width="13.4285714285714" customWidth="1"/>
    <col min="31" max="37" width="12.7142857142857" customWidth="1"/>
  </cols>
  <sheetData>
    <row r="1" s="176" customFormat="1"/>
    <row r="7" ht="12" customHeight="1" spans="12:63">
      <c r="L7" s="23"/>
      <c r="M7" s="23"/>
      <c r="N7" s="23">
        <v>1</v>
      </c>
      <c r="O7" s="23">
        <v>2</v>
      </c>
      <c r="P7" s="23">
        <v>3</v>
      </c>
      <c r="Q7" s="23">
        <v>4</v>
      </c>
      <c r="R7" s="23">
        <v>5</v>
      </c>
      <c r="S7" s="23">
        <v>6</v>
      </c>
      <c r="T7" s="23">
        <v>7</v>
      </c>
      <c r="U7" s="23">
        <v>8</v>
      </c>
      <c r="V7" s="23">
        <v>9</v>
      </c>
      <c r="W7" s="23">
        <v>10</v>
      </c>
      <c r="X7" s="23">
        <v>11</v>
      </c>
      <c r="Y7" s="23">
        <v>12</v>
      </c>
      <c r="Z7" s="23">
        <v>13</v>
      </c>
      <c r="AA7" s="23">
        <v>14</v>
      </c>
      <c r="AB7" s="23">
        <v>15</v>
      </c>
      <c r="AC7" s="23">
        <v>16</v>
      </c>
      <c r="AD7" s="23">
        <v>17</v>
      </c>
      <c r="AE7" s="23">
        <v>18</v>
      </c>
      <c r="AF7" s="23">
        <v>19</v>
      </c>
      <c r="AG7" s="23">
        <v>20</v>
      </c>
      <c r="AH7" s="23">
        <v>21</v>
      </c>
      <c r="AI7" s="23">
        <v>22</v>
      </c>
      <c r="AJ7" s="23">
        <v>23</v>
      </c>
      <c r="AK7" s="23">
        <v>24</v>
      </c>
      <c r="AL7" s="23">
        <v>25</v>
      </c>
      <c r="AM7" s="23">
        <v>26</v>
      </c>
      <c r="AN7" s="23">
        <v>27</v>
      </c>
      <c r="AO7" s="23">
        <v>28</v>
      </c>
      <c r="AP7" s="23">
        <v>29</v>
      </c>
      <c r="AQ7" s="23">
        <v>30</v>
      </c>
      <c r="AR7" s="23">
        <v>31</v>
      </c>
      <c r="AS7" s="23">
        <v>32</v>
      </c>
      <c r="AT7" s="23">
        <v>33</v>
      </c>
      <c r="AU7" s="23">
        <v>34</v>
      </c>
      <c r="AV7" s="23">
        <v>35</v>
      </c>
      <c r="AW7" s="23">
        <v>36</v>
      </c>
      <c r="AX7" s="23">
        <v>37</v>
      </c>
      <c r="AY7" s="23">
        <v>38</v>
      </c>
      <c r="AZ7" s="23">
        <v>39</v>
      </c>
      <c r="BA7" s="23">
        <v>40</v>
      </c>
      <c r="BB7" s="23">
        <v>41</v>
      </c>
      <c r="BC7" s="23">
        <v>42</v>
      </c>
      <c r="BD7" s="23">
        <v>43</v>
      </c>
      <c r="BE7" s="23">
        <v>44</v>
      </c>
      <c r="BF7" s="23">
        <v>45</v>
      </c>
      <c r="BG7" s="23">
        <v>46</v>
      </c>
      <c r="BH7" s="23">
        <v>47</v>
      </c>
      <c r="BI7" s="23">
        <v>48</v>
      </c>
      <c r="BJ7" s="23">
        <v>49</v>
      </c>
      <c r="BK7" s="23">
        <v>50</v>
      </c>
    </row>
    <row r="8" spans="1:63">
      <c r="A8" s="24"/>
      <c r="B8" s="24" t="str">
        <f>tblIndicators!B1</f>
        <v>IndiCode</v>
      </c>
      <c r="C8" s="24" t="str">
        <f>tblIndicators!C1</f>
        <v>IndiParent</v>
      </c>
      <c r="D8" s="24" t="s">
        <v>37</v>
      </c>
      <c r="E8" s="24" t="str">
        <f>tblIndicators!M1</f>
        <v>Score_System, 1 = weighted sum of scores, 2 = norm based on actual max/min, 3 = norm based on fixed max/min</v>
      </c>
      <c r="F8" s="24" t="str">
        <f>tblIndicators!N1</f>
        <v>Score_Param1 (0=High Is Good)</v>
      </c>
      <c r="G8" s="24" t="str">
        <f>tblIndicators!O1</f>
        <v>Score_Param2</v>
      </c>
      <c r="H8" s="24" t="str">
        <f>tblIndicators!P1</f>
        <v>Score_Param3</v>
      </c>
      <c r="I8" s="24" t="str">
        <f>tblIndicators!Q1</f>
        <v>Min</v>
      </c>
      <c r="J8" s="24" t="str">
        <f>tblIndicators!R1</f>
        <v>Max</v>
      </c>
      <c r="K8" s="24" t="s">
        <v>411</v>
      </c>
      <c r="L8" s="25" t="s">
        <v>77</v>
      </c>
      <c r="M8" s="25" t="s">
        <v>412</v>
      </c>
      <c r="N8" s="26" t="str">
        <f t="shared" ref="N8:BK8" si="0">INDEX(luCountry,N7)</f>
        <v>Stockholm</v>
      </c>
      <c r="O8" s="26" t="str">
        <f t="shared" si="0"/>
        <v>Johannesburg</v>
      </c>
      <c r="P8" s="26" t="str">
        <f t="shared" si="0"/>
        <v>Buenos Aires</v>
      </c>
      <c r="Q8" s="26" t="str">
        <f t="shared" si="0"/>
        <v>Sao Paulo</v>
      </c>
      <c r="R8" s="26" t="str">
        <f t="shared" si="0"/>
        <v>Rio de Janeiro</v>
      </c>
      <c r="S8" s="26" t="str">
        <f t="shared" si="0"/>
        <v>Los Angeles</v>
      </c>
      <c r="T8" s="26" t="str">
        <f t="shared" si="0"/>
        <v>San Francisco</v>
      </c>
      <c r="U8" s="26" t="str">
        <f t="shared" si="0"/>
        <v>Toronto</v>
      </c>
      <c r="V8" s="26" t="str">
        <f t="shared" si="0"/>
        <v>Montreal</v>
      </c>
      <c r="W8" s="26" t="str">
        <f t="shared" si="0"/>
        <v>Chicago</v>
      </c>
      <c r="X8" s="26" t="str">
        <f t="shared" si="0"/>
        <v>Mexico City</v>
      </c>
      <c r="Y8" s="26" t="str">
        <f t="shared" si="0"/>
        <v>Lima</v>
      </c>
      <c r="Z8" s="26" t="str">
        <f t="shared" si="0"/>
        <v>Santiago</v>
      </c>
      <c r="AA8" s="26" t="str">
        <f t="shared" si="0"/>
        <v>New York</v>
      </c>
      <c r="AB8" s="26" t="str">
        <f t="shared" si="0"/>
        <v>Washington DC</v>
      </c>
      <c r="AC8" s="26" t="str">
        <f t="shared" si="0"/>
        <v>Sydney</v>
      </c>
      <c r="AD8" s="26" t="str">
        <f t="shared" si="0"/>
        <v>Melbourne</v>
      </c>
      <c r="AE8" s="26" t="str">
        <f t="shared" si="0"/>
        <v>Hong Kong</v>
      </c>
      <c r="AF8" s="26" t="str">
        <f t="shared" si="0"/>
        <v>Beijing </v>
      </c>
      <c r="AG8" s="26" t="str">
        <f t="shared" si="0"/>
        <v>Shanghai</v>
      </c>
      <c r="AH8" s="26" t="str">
        <f t="shared" si="0"/>
        <v>Shenzhen</v>
      </c>
      <c r="AI8" s="26" t="str">
        <f t="shared" si="0"/>
        <v>Guangzhou</v>
      </c>
      <c r="AJ8" s="26" t="str">
        <f t="shared" si="0"/>
        <v>Tianjin</v>
      </c>
      <c r="AK8" s="26" t="str">
        <f t="shared" si="0"/>
        <v>Mumbai</v>
      </c>
      <c r="AL8" s="26" t="str">
        <f t="shared" si="0"/>
        <v>Delhi</v>
      </c>
      <c r="AM8" s="26" t="str">
        <f t="shared" si="0"/>
        <v>Jakarta</v>
      </c>
      <c r="AN8" s="26" t="str">
        <f t="shared" si="0"/>
        <v>Tehran</v>
      </c>
      <c r="AO8" s="26" t="str">
        <f t="shared" si="0"/>
        <v>Tokyo</v>
      </c>
      <c r="AP8" s="26" t="str">
        <f t="shared" si="0"/>
        <v>Osaka</v>
      </c>
      <c r="AQ8" s="26" t="str">
        <f t="shared" si="0"/>
        <v>Singapore</v>
      </c>
      <c r="AR8" s="26" t="str">
        <f t="shared" si="0"/>
        <v>Seoul</v>
      </c>
      <c r="AS8" s="26" t="str">
        <f t="shared" si="0"/>
        <v>Taipei</v>
      </c>
      <c r="AT8" s="26" t="str">
        <f t="shared" si="0"/>
        <v>Bangkok</v>
      </c>
      <c r="AU8" s="26" t="str">
        <f t="shared" si="0"/>
        <v>Ho Chi Minh</v>
      </c>
      <c r="AV8" s="26" t="str">
        <f t="shared" si="0"/>
        <v>Kuwait City</v>
      </c>
      <c r="AW8" s="26" t="str">
        <f t="shared" si="0"/>
        <v>Doha</v>
      </c>
      <c r="AX8" s="26" t="str">
        <f t="shared" si="0"/>
        <v>Riyadh</v>
      </c>
      <c r="AY8" s="26" t="str">
        <f t="shared" si="0"/>
        <v>Abu Dhabi</v>
      </c>
      <c r="AZ8" s="26" t="str">
        <f t="shared" si="0"/>
        <v>Brussels</v>
      </c>
      <c r="BA8" s="26" t="str">
        <f t="shared" si="0"/>
        <v>Paris</v>
      </c>
      <c r="BB8" s="26" t="str">
        <f t="shared" si="0"/>
        <v>Frankfurt</v>
      </c>
      <c r="BC8" s="26" t="str">
        <f t="shared" si="0"/>
        <v>Rome</v>
      </c>
      <c r="BD8" s="26" t="str">
        <f t="shared" si="0"/>
        <v>Milan</v>
      </c>
      <c r="BE8" s="26" t="str">
        <f t="shared" si="0"/>
        <v>Amsterdam</v>
      </c>
      <c r="BF8" s="26" t="str">
        <f t="shared" si="0"/>
        <v>Moscow</v>
      </c>
      <c r="BG8" s="26" t="str">
        <f t="shared" si="0"/>
        <v>Madrid</v>
      </c>
      <c r="BH8" s="26" t="str">
        <f t="shared" si="0"/>
        <v>Barcelona</v>
      </c>
      <c r="BI8" s="26" t="str">
        <f t="shared" si="0"/>
        <v>Zurich</v>
      </c>
      <c r="BJ8" s="26" t="str">
        <f t="shared" si="0"/>
        <v>Istanbul</v>
      </c>
      <c r="BK8" s="26" t="str">
        <f t="shared" si="0"/>
        <v>London</v>
      </c>
    </row>
    <row r="9" spans="1:63">
      <c r="A9" s="24"/>
      <c r="B9" s="24"/>
      <c r="C9" s="24"/>
      <c r="D9" s="52"/>
      <c r="E9" s="52"/>
      <c r="F9" s="52"/>
      <c r="G9" s="52"/>
      <c r="H9" s="52"/>
      <c r="I9" s="52"/>
      <c r="J9" s="52"/>
      <c r="K9" s="54"/>
      <c r="L9" s="55" t="str">
        <f>tblIndicators!Z2</f>
        <v>TOTAL SCORE</v>
      </c>
      <c r="M9" s="56"/>
      <c r="N9" s="179">
        <f>RANK(iScoresRounded!N9,iScoresRounded!$N9:$BK9)</f>
        <v>4</v>
      </c>
      <c r="O9" s="179">
        <f>RANK(iScoresRounded!O9,iScoresRounded!$N9:$BK9)</f>
        <v>47</v>
      </c>
      <c r="P9" s="179">
        <f>RANK(iScoresRounded!P9,iScoresRounded!$N9:$BK9)</f>
        <v>31</v>
      </c>
      <c r="Q9" s="179">
        <f>RANK(iScoresRounded!Q9,iScoresRounded!$N9:$BK9)</f>
        <v>40</v>
      </c>
      <c r="R9" s="179">
        <f>RANK(iScoresRounded!R9,iScoresRounded!$N9:$BK9)</f>
        <v>35</v>
      </c>
      <c r="S9" s="179">
        <f>RANK(iScoresRounded!S9,iScoresRounded!$N9:$BK9)</f>
        <v>17</v>
      </c>
      <c r="T9" s="179">
        <f>RANK(iScoresRounded!T9,iScoresRounded!$N9:$BK9)</f>
        <v>12</v>
      </c>
      <c r="U9" s="179">
        <f>RANK(iScoresRounded!U9,iScoresRounded!$N9:$BK9)</f>
        <v>8</v>
      </c>
      <c r="V9" s="179">
        <f>RANK(iScoresRounded!V9,iScoresRounded!$N9:$BK9)</f>
        <v>14</v>
      </c>
      <c r="W9" s="179">
        <f>RANK(iScoresRounded!W9,iScoresRounded!$N9:$BK9)</f>
        <v>16</v>
      </c>
      <c r="X9" s="179">
        <f>RANK(iScoresRounded!X9,iScoresRounded!$N9:$BK9)</f>
        <v>45</v>
      </c>
      <c r="Y9" s="179">
        <f>RANK(iScoresRounded!Y9,iScoresRounded!$N9:$BK9)</f>
        <v>33</v>
      </c>
      <c r="Z9" s="179">
        <f>RANK(iScoresRounded!Z9,iScoresRounded!$N9:$BK9)</f>
        <v>28</v>
      </c>
      <c r="AA9" s="179">
        <f>RANK(iScoresRounded!AA9,iScoresRounded!$N9:$BK9)</f>
        <v>10</v>
      </c>
      <c r="AB9" s="179">
        <f>RANK(iScoresRounded!AB9,iScoresRounded!$N9:$BK9)</f>
        <v>19</v>
      </c>
      <c r="AC9" s="179">
        <f>RANK(iScoresRounded!AC9,iScoresRounded!$N9:$BK9)</f>
        <v>6</v>
      </c>
      <c r="AD9" s="179">
        <f>RANK(iScoresRounded!AD9,iScoresRounded!$N9:$BK9)</f>
        <v>9</v>
      </c>
      <c r="AE9" s="179">
        <f>RANK(iScoresRounded!AE9,iScoresRounded!$N9:$BK9)</f>
        <v>11</v>
      </c>
      <c r="AF9" s="179">
        <f>RANK(iScoresRounded!AF9,iScoresRounded!$N9:$BK9)</f>
        <v>37</v>
      </c>
      <c r="AG9" s="179">
        <f>RANK(iScoresRounded!AG9,iScoresRounded!$N9:$BK9)</f>
        <v>30</v>
      </c>
      <c r="AH9" s="179">
        <f>RANK(iScoresRounded!AH9,iScoresRounded!$N9:$BK9)</f>
        <v>32</v>
      </c>
      <c r="AI9" s="179">
        <f>RANK(iScoresRounded!AI9,iScoresRounded!$N9:$BK9)</f>
        <v>38</v>
      </c>
      <c r="AJ9" s="179">
        <f>RANK(iScoresRounded!AJ9,iScoresRounded!$N9:$BK9)</f>
        <v>34</v>
      </c>
      <c r="AK9" s="179">
        <f>RANK(iScoresRounded!AK9,iScoresRounded!$N9:$BK9)</f>
        <v>44</v>
      </c>
      <c r="AL9" s="179">
        <f>RANK(iScoresRounded!AL9,iScoresRounded!$N9:$BK9)</f>
        <v>42</v>
      </c>
      <c r="AM9" s="179">
        <f>RANK(iScoresRounded!AM9,iScoresRounded!$N9:$BK9)</f>
        <v>50</v>
      </c>
      <c r="AN9" s="179">
        <f>RANK(iScoresRounded!AN9,iScoresRounded!$N9:$BK9)</f>
        <v>49</v>
      </c>
      <c r="AO9" s="179">
        <f>RANK(iScoresRounded!AO9,iScoresRounded!$N9:$BK9)</f>
        <v>1</v>
      </c>
      <c r="AP9" s="179">
        <f>RANK(iScoresRounded!AP9,iScoresRounded!$N9:$BK9)</f>
        <v>3</v>
      </c>
      <c r="AQ9" s="179">
        <f>RANK(iScoresRounded!AQ9,iScoresRounded!$N9:$BK9)</f>
        <v>2</v>
      </c>
      <c r="AR9" s="179">
        <f>RANK(iScoresRounded!AR9,iScoresRounded!$N9:$BK9)</f>
        <v>24</v>
      </c>
      <c r="AS9" s="179">
        <f>RANK(iScoresRounded!AS9,iScoresRounded!$N9:$BK9)</f>
        <v>13</v>
      </c>
      <c r="AT9" s="179">
        <f>RANK(iScoresRounded!AT9,iScoresRounded!$N9:$BK9)</f>
        <v>39</v>
      </c>
      <c r="AU9" s="179">
        <f>RANK(iScoresRounded!AU9,iScoresRounded!$N9:$BK9)</f>
        <v>48</v>
      </c>
      <c r="AV9" s="179">
        <f>RANK(iScoresRounded!AV9,iScoresRounded!$N9:$BK9)</f>
        <v>36</v>
      </c>
      <c r="AW9" s="179">
        <f>RANK(iScoresRounded!AW9,iScoresRounded!$N9:$BK9)</f>
        <v>29</v>
      </c>
      <c r="AX9" s="179">
        <f>RANK(iScoresRounded!AX9,iScoresRounded!$N9:$BK9)</f>
        <v>46</v>
      </c>
      <c r="AY9" s="179">
        <f>RANK(iScoresRounded!AY9,iScoresRounded!$N9:$BK9)</f>
        <v>25</v>
      </c>
      <c r="AZ9" s="179">
        <f>RANK(iScoresRounded!AZ9,iScoresRounded!$N9:$BK9)</f>
        <v>22</v>
      </c>
      <c r="BA9" s="179">
        <f>RANK(iScoresRounded!BA9,iScoresRounded!$N9:$BK9)</f>
        <v>23</v>
      </c>
      <c r="BB9" s="179">
        <f>RANK(iScoresRounded!BB9,iScoresRounded!$N9:$BK9)</f>
        <v>20</v>
      </c>
      <c r="BC9" s="179">
        <f>RANK(iScoresRounded!BC9,iScoresRounded!$N9:$BK9)</f>
        <v>27</v>
      </c>
      <c r="BD9" s="179">
        <f>RANK(iScoresRounded!BD9,iScoresRounded!$N9:$BK9)</f>
        <v>26</v>
      </c>
      <c r="BE9" s="179">
        <f>RANK(iScoresRounded!BE9,iScoresRounded!$N9:$BK9)</f>
        <v>5</v>
      </c>
      <c r="BF9" s="179">
        <f>RANK(iScoresRounded!BF9,iScoresRounded!$N9:$BK9)</f>
        <v>43</v>
      </c>
      <c r="BG9" s="179">
        <f>RANK(iScoresRounded!BG9,iScoresRounded!$N9:$BK9)</f>
        <v>21</v>
      </c>
      <c r="BH9" s="179">
        <f>RANK(iScoresRounded!BH9,iScoresRounded!$N9:$BK9)</f>
        <v>15</v>
      </c>
      <c r="BI9" s="179">
        <f>RANK(iScoresRounded!BI9,iScoresRounded!$N9:$BK9)</f>
        <v>7</v>
      </c>
      <c r="BJ9" s="179">
        <f>RANK(iScoresRounded!BJ9,iScoresRounded!$N9:$BK9)</f>
        <v>41</v>
      </c>
      <c r="BK9" s="179">
        <f>RANK(iScoresRounded!BK9,iScoresRounded!$N9:$BK9)</f>
        <v>18</v>
      </c>
    </row>
    <row r="10" spans="1:63">
      <c r="A10" s="24"/>
      <c r="B10" s="24"/>
      <c r="C10" s="24"/>
      <c r="D10" s="52"/>
      <c r="E10" s="52"/>
      <c r="F10" s="52"/>
      <c r="G10" s="52"/>
      <c r="H10" s="52"/>
      <c r="I10" s="52"/>
      <c r="J10" s="52"/>
      <c r="K10" s="54"/>
      <c r="L10" s="55" t="str">
        <f>tblIndicators!Z3</f>
        <v>1) DIGITAL SECURITY</v>
      </c>
      <c r="M10" s="56"/>
      <c r="N10" s="179">
        <f>RANK(iScoresRounded!N10,iScoresRounded!$N10:$BK10)</f>
        <v>7</v>
      </c>
      <c r="O10" s="179">
        <f>RANK(iScoresRounded!O10,iScoresRounded!$N10:$BK10)</f>
        <v>44</v>
      </c>
      <c r="P10" s="179">
        <f>RANK(iScoresRounded!P10,iScoresRounded!$N10:$BK10)</f>
        <v>30</v>
      </c>
      <c r="Q10" s="179">
        <f>RANK(iScoresRounded!Q10,iScoresRounded!$N10:$BK10)</f>
        <v>39</v>
      </c>
      <c r="R10" s="179">
        <f>RANK(iScoresRounded!R10,iScoresRounded!$N10:$BK10)</f>
        <v>40</v>
      </c>
      <c r="S10" s="179">
        <f>RANK(iScoresRounded!S10,iScoresRounded!$N10:$BK10)</f>
        <v>6</v>
      </c>
      <c r="T10" s="179">
        <f>RANK(iScoresRounded!T10,iScoresRounded!$N10:$BK10)</f>
        <v>8</v>
      </c>
      <c r="U10" s="179">
        <f>RANK(iScoresRounded!U10,iScoresRounded!$N10:$BK10)</f>
        <v>11</v>
      </c>
      <c r="V10" s="179">
        <f>RANK(iScoresRounded!V10,iScoresRounded!$N10:$BK10)</f>
        <v>11</v>
      </c>
      <c r="W10" s="179">
        <f>RANK(iScoresRounded!W10,iScoresRounded!$N10:$BK10)</f>
        <v>10</v>
      </c>
      <c r="X10" s="179">
        <f>RANK(iScoresRounded!X10,iScoresRounded!$N10:$BK10)</f>
        <v>27</v>
      </c>
      <c r="Y10" s="179">
        <f>RANK(iScoresRounded!Y10,iScoresRounded!$N10:$BK10)</f>
        <v>38</v>
      </c>
      <c r="Z10" s="179">
        <f>RANK(iScoresRounded!Z10,iScoresRounded!$N10:$BK10)</f>
        <v>13</v>
      </c>
      <c r="AA10" s="179">
        <f>RANK(iScoresRounded!AA10,iScoresRounded!$N10:$BK10)</f>
        <v>3</v>
      </c>
      <c r="AB10" s="179">
        <f>RANK(iScoresRounded!AB10,iScoresRounded!$N10:$BK10)</f>
        <v>15</v>
      </c>
      <c r="AC10" s="179">
        <f>RANK(iScoresRounded!AC10,iScoresRounded!$N10:$BK10)</f>
        <v>14</v>
      </c>
      <c r="AD10" s="179">
        <f>RANK(iScoresRounded!AD10,iScoresRounded!$N10:$BK10)</f>
        <v>20</v>
      </c>
      <c r="AE10" s="179">
        <f>RANK(iScoresRounded!AE10,iScoresRounded!$N10:$BK10)</f>
        <v>4</v>
      </c>
      <c r="AF10" s="179">
        <f>RANK(iScoresRounded!AF10,iScoresRounded!$N10:$BK10)</f>
        <v>34</v>
      </c>
      <c r="AG10" s="179">
        <f>RANK(iScoresRounded!AG10,iScoresRounded!$N10:$BK10)</f>
        <v>36</v>
      </c>
      <c r="AH10" s="179">
        <f>RANK(iScoresRounded!AH10,iScoresRounded!$N10:$BK10)</f>
        <v>25</v>
      </c>
      <c r="AI10" s="179">
        <f>RANK(iScoresRounded!AI10,iScoresRounded!$N10:$BK10)</f>
        <v>37</v>
      </c>
      <c r="AJ10" s="179">
        <f>RANK(iScoresRounded!AJ10,iScoresRounded!$N10:$BK10)</f>
        <v>41</v>
      </c>
      <c r="AK10" s="179">
        <f>RANK(iScoresRounded!AK10,iScoresRounded!$N10:$BK10)</f>
        <v>18</v>
      </c>
      <c r="AL10" s="179">
        <f>RANK(iScoresRounded!AL10,iScoresRounded!$N10:$BK10)</f>
        <v>24</v>
      </c>
      <c r="AM10" s="179">
        <f>RANK(iScoresRounded!AM10,iScoresRounded!$N10:$BK10)</f>
        <v>48</v>
      </c>
      <c r="AN10" s="179">
        <f>RANK(iScoresRounded!AN10,iScoresRounded!$N10:$BK10)</f>
        <v>50</v>
      </c>
      <c r="AO10" s="179">
        <f>RANK(iScoresRounded!AO10,iScoresRounded!$N10:$BK10)</f>
        <v>1</v>
      </c>
      <c r="AP10" s="179">
        <f>RANK(iScoresRounded!AP10,iScoresRounded!$N10:$BK10)</f>
        <v>5</v>
      </c>
      <c r="AQ10" s="179">
        <f>RANK(iScoresRounded!AQ10,iScoresRounded!$N10:$BK10)</f>
        <v>2</v>
      </c>
      <c r="AR10" s="179">
        <f>RANK(iScoresRounded!AR10,iScoresRounded!$N10:$BK10)</f>
        <v>47</v>
      </c>
      <c r="AS10" s="179">
        <f>RANK(iScoresRounded!AS10,iScoresRounded!$N10:$BK10)</f>
        <v>21</v>
      </c>
      <c r="AT10" s="179">
        <f>RANK(iScoresRounded!AT10,iScoresRounded!$N10:$BK10)</f>
        <v>45</v>
      </c>
      <c r="AU10" s="179">
        <f>RANK(iScoresRounded!AU10,iScoresRounded!$N10:$BK10)</f>
        <v>42</v>
      </c>
      <c r="AV10" s="179">
        <f>RANK(iScoresRounded!AV10,iScoresRounded!$N10:$BK10)</f>
        <v>23</v>
      </c>
      <c r="AW10" s="179">
        <f>RANK(iScoresRounded!AW10,iScoresRounded!$N10:$BK10)</f>
        <v>31</v>
      </c>
      <c r="AX10" s="179">
        <f>RANK(iScoresRounded!AX10,iScoresRounded!$N10:$BK10)</f>
        <v>43</v>
      </c>
      <c r="AY10" s="179">
        <f>RANK(iScoresRounded!AY10,iScoresRounded!$N10:$BK10)</f>
        <v>9</v>
      </c>
      <c r="AZ10" s="179">
        <f>RANK(iScoresRounded!AZ10,iScoresRounded!$N10:$BK10)</f>
        <v>22</v>
      </c>
      <c r="BA10" s="179">
        <f>RANK(iScoresRounded!BA10,iScoresRounded!$N10:$BK10)</f>
        <v>32</v>
      </c>
      <c r="BB10" s="179">
        <f>RANK(iScoresRounded!BB10,iScoresRounded!$N10:$BK10)</f>
        <v>33</v>
      </c>
      <c r="BC10" s="179">
        <f>RANK(iScoresRounded!BC10,iScoresRounded!$N10:$BK10)</f>
        <v>35</v>
      </c>
      <c r="BD10" s="179">
        <f>RANK(iScoresRounded!BD10,iScoresRounded!$N10:$BK10)</f>
        <v>26</v>
      </c>
      <c r="BE10" s="179">
        <f>RANK(iScoresRounded!BE10,iScoresRounded!$N10:$BK10)</f>
        <v>17</v>
      </c>
      <c r="BF10" s="179">
        <f>RANK(iScoresRounded!BF10,iScoresRounded!$N10:$BK10)</f>
        <v>46</v>
      </c>
      <c r="BG10" s="179">
        <f>RANK(iScoresRounded!BG10,iScoresRounded!$N10:$BK10)</f>
        <v>28</v>
      </c>
      <c r="BH10" s="179">
        <f>RANK(iScoresRounded!BH10,iScoresRounded!$N10:$BK10)</f>
        <v>29</v>
      </c>
      <c r="BI10" s="179">
        <f>RANK(iScoresRounded!BI10,iScoresRounded!$N10:$BK10)</f>
        <v>19</v>
      </c>
      <c r="BJ10" s="179">
        <f>RANK(iScoresRounded!BJ10,iScoresRounded!$N10:$BK10)</f>
        <v>49</v>
      </c>
      <c r="BK10" s="179">
        <f>RANK(iScoresRounded!BK10,iScoresRounded!$N10:$BK10)</f>
        <v>16</v>
      </c>
    </row>
    <row r="11" s="1" customFormat="1" spans="1:63">
      <c r="A11" s="177"/>
      <c r="B11" s="177"/>
      <c r="C11" s="177"/>
      <c r="D11" s="178"/>
      <c r="E11" s="178"/>
      <c r="F11" s="178"/>
      <c r="G11" s="178"/>
      <c r="H11" s="178"/>
      <c r="I11" s="178"/>
      <c r="J11" s="178"/>
      <c r="K11" s="180"/>
      <c r="L11" s="55" t="str">
        <f>tblIndicators!Z4</f>
        <v>1.1) Digital Security (Inputs)</v>
      </c>
      <c r="M11" s="56"/>
      <c r="N11" s="179">
        <f>RANK(iScoresRounded!N11,iScoresRounded!$N11:$BK11)</f>
        <v>13</v>
      </c>
      <c r="O11" s="179">
        <f>RANK(iScoresRounded!O11,iScoresRounded!$N11:$BK11)</f>
        <v>45</v>
      </c>
      <c r="P11" s="179">
        <f>RANK(iScoresRounded!P11,iScoresRounded!$N11:$BK11)</f>
        <v>49</v>
      </c>
      <c r="Q11" s="179">
        <f>RANK(iScoresRounded!Q11,iScoresRounded!$N11:$BK11)</f>
        <v>34</v>
      </c>
      <c r="R11" s="179">
        <f>RANK(iScoresRounded!R11,iScoresRounded!$N11:$BK11)</f>
        <v>34</v>
      </c>
      <c r="S11" s="179">
        <f>RANK(iScoresRounded!S11,iScoresRounded!$N11:$BK11)</f>
        <v>7</v>
      </c>
      <c r="T11" s="179">
        <f>RANK(iScoresRounded!T11,iScoresRounded!$N11:$BK11)</f>
        <v>7</v>
      </c>
      <c r="U11" s="179">
        <f>RANK(iScoresRounded!U11,iScoresRounded!$N11:$BK11)</f>
        <v>10</v>
      </c>
      <c r="V11" s="179">
        <f>RANK(iScoresRounded!V11,iScoresRounded!$N11:$BK11)</f>
        <v>10</v>
      </c>
      <c r="W11" s="179">
        <f>RANK(iScoresRounded!W11,iScoresRounded!$N11:$BK11)</f>
        <v>7</v>
      </c>
      <c r="X11" s="179">
        <f>RANK(iScoresRounded!X11,iScoresRounded!$N11:$BK11)</f>
        <v>31</v>
      </c>
      <c r="Y11" s="179">
        <f>RANK(iScoresRounded!Y11,iScoresRounded!$N11:$BK11)</f>
        <v>21</v>
      </c>
      <c r="Z11" s="179">
        <f>RANK(iScoresRounded!Z11,iScoresRounded!$N11:$BK11)</f>
        <v>21</v>
      </c>
      <c r="AA11" s="179">
        <f>RANK(iScoresRounded!AA11,iScoresRounded!$N11:$BK11)</f>
        <v>2</v>
      </c>
      <c r="AB11" s="179">
        <f>RANK(iScoresRounded!AB11,iScoresRounded!$N11:$BK11)</f>
        <v>16</v>
      </c>
      <c r="AC11" s="179">
        <f>RANK(iScoresRounded!AC11,iScoresRounded!$N11:$BK11)</f>
        <v>10</v>
      </c>
      <c r="AD11" s="179">
        <f>RANK(iScoresRounded!AD11,iScoresRounded!$N11:$BK11)</f>
        <v>17</v>
      </c>
      <c r="AE11" s="179">
        <f>RANK(iScoresRounded!AE11,iScoresRounded!$N11:$BK11)</f>
        <v>4</v>
      </c>
      <c r="AF11" s="179">
        <f>RANK(iScoresRounded!AF11,iScoresRounded!$N11:$BK11)</f>
        <v>24</v>
      </c>
      <c r="AG11" s="179">
        <f>RANK(iScoresRounded!AG11,iScoresRounded!$N11:$BK11)</f>
        <v>24</v>
      </c>
      <c r="AH11" s="179">
        <f>RANK(iScoresRounded!AH11,iScoresRounded!$N11:$BK11)</f>
        <v>14</v>
      </c>
      <c r="AI11" s="179">
        <f>RANK(iScoresRounded!AI11,iScoresRounded!$N11:$BK11)</f>
        <v>24</v>
      </c>
      <c r="AJ11" s="179">
        <f>RANK(iScoresRounded!AJ11,iScoresRounded!$N11:$BK11)</f>
        <v>24</v>
      </c>
      <c r="AK11" s="179">
        <f>RANK(iScoresRounded!AK11,iScoresRounded!$N11:$BK11)</f>
        <v>1</v>
      </c>
      <c r="AL11" s="179">
        <f>RANK(iScoresRounded!AL11,iScoresRounded!$N11:$BK11)</f>
        <v>6</v>
      </c>
      <c r="AM11" s="179">
        <f>RANK(iScoresRounded!AM11,iScoresRounded!$N11:$BK11)</f>
        <v>41</v>
      </c>
      <c r="AN11" s="179">
        <f>RANK(iScoresRounded!AN11,iScoresRounded!$N11:$BK11)</f>
        <v>50</v>
      </c>
      <c r="AO11" s="179">
        <f>RANK(iScoresRounded!AO11,iScoresRounded!$N11:$BK11)</f>
        <v>5</v>
      </c>
      <c r="AP11" s="179">
        <f>RANK(iScoresRounded!AP11,iScoresRounded!$N11:$BK11)</f>
        <v>23</v>
      </c>
      <c r="AQ11" s="179">
        <f>RANK(iScoresRounded!AQ11,iScoresRounded!$N11:$BK11)</f>
        <v>2</v>
      </c>
      <c r="AR11" s="179">
        <f>RANK(iScoresRounded!AR11,iScoresRounded!$N11:$BK11)</f>
        <v>30</v>
      </c>
      <c r="AS11" s="179">
        <f>RANK(iScoresRounded!AS11,iScoresRounded!$N11:$BK11)</f>
        <v>42</v>
      </c>
      <c r="AT11" s="179">
        <f>RANK(iScoresRounded!AT11,iScoresRounded!$N11:$BK11)</f>
        <v>24</v>
      </c>
      <c r="AU11" s="179">
        <f>RANK(iScoresRounded!AU11,iScoresRounded!$N11:$BK11)</f>
        <v>24</v>
      </c>
      <c r="AV11" s="179">
        <f>RANK(iScoresRounded!AV11,iScoresRounded!$N11:$BK11)</f>
        <v>34</v>
      </c>
      <c r="AW11" s="179">
        <f>RANK(iScoresRounded!AW11,iScoresRounded!$N11:$BK11)</f>
        <v>48</v>
      </c>
      <c r="AX11" s="179">
        <f>RANK(iScoresRounded!AX11,iScoresRounded!$N11:$BK11)</f>
        <v>34</v>
      </c>
      <c r="AY11" s="179">
        <f>RANK(iScoresRounded!AY11,iScoresRounded!$N11:$BK11)</f>
        <v>15</v>
      </c>
      <c r="AZ11" s="179">
        <f>RANK(iScoresRounded!AZ11,iScoresRounded!$N11:$BK11)</f>
        <v>39</v>
      </c>
      <c r="BA11" s="179">
        <f>RANK(iScoresRounded!BA11,iScoresRounded!$N11:$BK11)</f>
        <v>43</v>
      </c>
      <c r="BB11" s="179">
        <f>RANK(iScoresRounded!BB11,iScoresRounded!$N11:$BK11)</f>
        <v>40</v>
      </c>
      <c r="BC11" s="179">
        <f>RANK(iScoresRounded!BC11,iScoresRounded!$N11:$BK11)</f>
        <v>46</v>
      </c>
      <c r="BD11" s="179">
        <f>RANK(iScoresRounded!BD11,iScoresRounded!$N11:$BK11)</f>
        <v>33</v>
      </c>
      <c r="BE11" s="179">
        <f>RANK(iScoresRounded!BE11,iScoresRounded!$N11:$BK11)</f>
        <v>44</v>
      </c>
      <c r="BF11" s="179">
        <f>RANK(iScoresRounded!BF11,iScoresRounded!$N11:$BK11)</f>
        <v>34</v>
      </c>
      <c r="BG11" s="179">
        <f>RANK(iScoresRounded!BG11,iScoresRounded!$N11:$BK11)</f>
        <v>17</v>
      </c>
      <c r="BH11" s="179">
        <f>RANK(iScoresRounded!BH11,iScoresRounded!$N11:$BK11)</f>
        <v>17</v>
      </c>
      <c r="BI11" s="179">
        <f>RANK(iScoresRounded!BI11,iScoresRounded!$N11:$BK11)</f>
        <v>32</v>
      </c>
      <c r="BJ11" s="179">
        <f>RANK(iScoresRounded!BJ11,iScoresRounded!$N11:$BK11)</f>
        <v>47</v>
      </c>
      <c r="BK11" s="179">
        <f>RANK(iScoresRounded!BK11,iScoresRounded!$N11:$BK11)</f>
        <v>17</v>
      </c>
    </row>
    <row r="12" s="22" customFormat="1" spans="1:63">
      <c r="A12" s="24"/>
      <c r="B12" s="24"/>
      <c r="C12" s="24"/>
      <c r="D12" s="52"/>
      <c r="E12" s="52"/>
      <c r="F12" s="52"/>
      <c r="G12" s="52"/>
      <c r="H12" s="52"/>
      <c r="I12" s="52"/>
      <c r="J12" s="52"/>
      <c r="K12" s="54"/>
      <c r="L12" s="62" t="str">
        <f>tblIndicators!Z5</f>
        <v>1.1.1) Privacy policy</v>
      </c>
      <c r="M12" s="63"/>
      <c r="N12" s="179">
        <f>RANK(iScoresRounded!N12,iScoresRounded!$N12:$BK12)</f>
        <v>1</v>
      </c>
      <c r="O12" s="181">
        <f>RANK(iScoresRounded!O12,iScoresRounded!$N12:$BK12)</f>
        <v>42</v>
      </c>
      <c r="P12" s="181">
        <f>RANK(iScoresRounded!P12,iScoresRounded!$N12:$BK12)</f>
        <v>48</v>
      </c>
      <c r="Q12" s="181">
        <f>RANK(iScoresRounded!Q12,iScoresRounded!$N12:$BK12)</f>
        <v>10</v>
      </c>
      <c r="R12" s="181">
        <f>RANK(iScoresRounded!R12,iScoresRounded!$N12:$BK12)</f>
        <v>10</v>
      </c>
      <c r="S12" s="181">
        <f>RANK(iScoresRounded!S12,iScoresRounded!$N12:$BK12)</f>
        <v>10</v>
      </c>
      <c r="T12" s="181">
        <f>RANK(iScoresRounded!T12,iScoresRounded!$N12:$BK12)</f>
        <v>10</v>
      </c>
      <c r="U12" s="181">
        <f>RANK(iScoresRounded!U12,iScoresRounded!$N12:$BK12)</f>
        <v>30</v>
      </c>
      <c r="V12" s="181">
        <f>RANK(iScoresRounded!V12,iScoresRounded!$N12:$BK12)</f>
        <v>30</v>
      </c>
      <c r="W12" s="181">
        <f>RANK(iScoresRounded!W12,iScoresRounded!$N12:$BK12)</f>
        <v>10</v>
      </c>
      <c r="X12" s="181">
        <f>RANK(iScoresRounded!X12,iScoresRounded!$N12:$BK12)</f>
        <v>30</v>
      </c>
      <c r="Y12" s="181">
        <f>RANK(iScoresRounded!Y12,iScoresRounded!$N12:$BK12)</f>
        <v>10</v>
      </c>
      <c r="Z12" s="181">
        <f>RANK(iScoresRounded!Z12,iScoresRounded!$N12:$BK12)</f>
        <v>10</v>
      </c>
      <c r="AA12" s="181">
        <f>RANK(iScoresRounded!AA12,iScoresRounded!$N12:$BK12)</f>
        <v>10</v>
      </c>
      <c r="AB12" s="181">
        <f>RANK(iScoresRounded!AB12,iScoresRounded!$N12:$BK12)</f>
        <v>10</v>
      </c>
      <c r="AC12" s="181">
        <f>RANK(iScoresRounded!AC12,iScoresRounded!$N12:$BK12)</f>
        <v>30</v>
      </c>
      <c r="AD12" s="181">
        <f>RANK(iScoresRounded!AD12,iScoresRounded!$N12:$BK12)</f>
        <v>30</v>
      </c>
      <c r="AE12" s="181">
        <f>RANK(iScoresRounded!AE12,iScoresRounded!$N12:$BK12)</f>
        <v>30</v>
      </c>
      <c r="AF12" s="181">
        <f>RANK(iScoresRounded!AF12,iScoresRounded!$N12:$BK12)</f>
        <v>1</v>
      </c>
      <c r="AG12" s="181">
        <f>RANK(iScoresRounded!AG12,iScoresRounded!$N12:$BK12)</f>
        <v>1</v>
      </c>
      <c r="AH12" s="181">
        <f>RANK(iScoresRounded!AH12,iScoresRounded!$N12:$BK12)</f>
        <v>1</v>
      </c>
      <c r="AI12" s="181">
        <f>RANK(iScoresRounded!AI12,iScoresRounded!$N12:$BK12)</f>
        <v>1</v>
      </c>
      <c r="AJ12" s="181">
        <f>RANK(iScoresRounded!AJ12,iScoresRounded!$N12:$BK12)</f>
        <v>1</v>
      </c>
      <c r="AK12" s="181">
        <f>RANK(iScoresRounded!AK12,iScoresRounded!$N12:$BK12)</f>
        <v>10</v>
      </c>
      <c r="AL12" s="181">
        <f>RANK(iScoresRounded!AL12,iScoresRounded!$N12:$BK12)</f>
        <v>10</v>
      </c>
      <c r="AM12" s="181">
        <f>RANK(iScoresRounded!AM12,iScoresRounded!$N12:$BK12)</f>
        <v>10</v>
      </c>
      <c r="AN12" s="181">
        <f>RANK(iScoresRounded!AN12,iScoresRounded!$N12:$BK12)</f>
        <v>1</v>
      </c>
      <c r="AO12" s="181">
        <f>RANK(iScoresRounded!AO12,iScoresRounded!$N12:$BK12)</f>
        <v>10</v>
      </c>
      <c r="AP12" s="181">
        <f>RANK(iScoresRounded!AP12,iScoresRounded!$N12:$BK12)</f>
        <v>10</v>
      </c>
      <c r="AQ12" s="181">
        <f>RANK(iScoresRounded!AQ12,iScoresRounded!$N12:$BK12)</f>
        <v>10</v>
      </c>
      <c r="AR12" s="181">
        <f>RANK(iScoresRounded!AR12,iScoresRounded!$N12:$BK12)</f>
        <v>42</v>
      </c>
      <c r="AS12" s="181">
        <f>RANK(iScoresRounded!AS12,iScoresRounded!$N12:$BK12)</f>
        <v>10</v>
      </c>
      <c r="AT12" s="181">
        <f>RANK(iScoresRounded!AT12,iScoresRounded!$N12:$BK12)</f>
        <v>1</v>
      </c>
      <c r="AU12" s="181">
        <f>RANK(iScoresRounded!AU12,iScoresRounded!$N12:$BK12)</f>
        <v>1</v>
      </c>
      <c r="AV12" s="181">
        <f>RANK(iScoresRounded!AV12,iScoresRounded!$N12:$BK12)</f>
        <v>10</v>
      </c>
      <c r="AW12" s="181">
        <f>RANK(iScoresRounded!AW12,iScoresRounded!$N12:$BK12)</f>
        <v>30</v>
      </c>
      <c r="AX12" s="181">
        <f>RANK(iScoresRounded!AX12,iScoresRounded!$N12:$BK12)</f>
        <v>10</v>
      </c>
      <c r="AY12" s="181">
        <f>RANK(iScoresRounded!AY12,iScoresRounded!$N12:$BK12)</f>
        <v>42</v>
      </c>
      <c r="AZ12" s="181">
        <f>RANK(iScoresRounded!AZ12,iScoresRounded!$N12:$BK12)</f>
        <v>48</v>
      </c>
      <c r="BA12" s="181">
        <f>RANK(iScoresRounded!BA12,iScoresRounded!$N12:$BK12)</f>
        <v>30</v>
      </c>
      <c r="BB12" s="181">
        <f>RANK(iScoresRounded!BB12,iScoresRounded!$N12:$BK12)</f>
        <v>42</v>
      </c>
      <c r="BC12" s="181">
        <f>RANK(iScoresRounded!BC12,iScoresRounded!$N12:$BK12)</f>
        <v>42</v>
      </c>
      <c r="BD12" s="181">
        <f>RANK(iScoresRounded!BD12,iScoresRounded!$N12:$BK12)</f>
        <v>42</v>
      </c>
      <c r="BE12" s="181">
        <f>RANK(iScoresRounded!BE12,iScoresRounded!$N12:$BK12)</f>
        <v>48</v>
      </c>
      <c r="BF12" s="181">
        <f>RANK(iScoresRounded!BF12,iScoresRounded!$N12:$BK12)</f>
        <v>10</v>
      </c>
      <c r="BG12" s="181">
        <f>RANK(iScoresRounded!BG12,iScoresRounded!$N12:$BK12)</f>
        <v>30</v>
      </c>
      <c r="BH12" s="181">
        <f>RANK(iScoresRounded!BH12,iScoresRounded!$N12:$BK12)</f>
        <v>30</v>
      </c>
      <c r="BI12" s="181">
        <f>RANK(iScoresRounded!BI12,iScoresRounded!$N12:$BK12)</f>
        <v>30</v>
      </c>
      <c r="BJ12" s="181">
        <f>RANK(iScoresRounded!BJ12,iScoresRounded!$N12:$BK12)</f>
        <v>10</v>
      </c>
      <c r="BK12" s="181">
        <f>RANK(iScoresRounded!BK12,iScoresRounded!$N12:$BK12)</f>
        <v>30</v>
      </c>
    </row>
    <row r="13" s="22" customFormat="1" spans="1:63">
      <c r="A13" s="24"/>
      <c r="B13" s="24"/>
      <c r="C13" s="24"/>
      <c r="D13" s="52"/>
      <c r="E13" s="52"/>
      <c r="F13" s="52"/>
      <c r="G13" s="52"/>
      <c r="H13" s="52"/>
      <c r="I13" s="52"/>
      <c r="J13" s="52"/>
      <c r="K13" s="54"/>
      <c r="L13" s="62" t="str">
        <f>tblIndicators!Z6</f>
        <v>1.1.2) Citizen awareness of digital threats</v>
      </c>
      <c r="M13" s="63"/>
      <c r="N13" s="181">
        <f>RANK(iScoresRounded!N13,iScoresRounded!$N13:$BK13)</f>
        <v>3</v>
      </c>
      <c r="O13" s="181">
        <f>RANK(iScoresRounded!O13,iScoresRounded!$N13:$BK13)</f>
        <v>26</v>
      </c>
      <c r="P13" s="181">
        <f>RANK(iScoresRounded!P13,iScoresRounded!$N13:$BK13)</f>
        <v>3</v>
      </c>
      <c r="Q13" s="181">
        <f>RANK(iScoresRounded!Q13,iScoresRounded!$N13:$BK13)</f>
        <v>26</v>
      </c>
      <c r="R13" s="181">
        <f>RANK(iScoresRounded!R13,iScoresRounded!$N13:$BK13)</f>
        <v>26</v>
      </c>
      <c r="S13" s="181">
        <f>RANK(iScoresRounded!S13,iScoresRounded!$N13:$BK13)</f>
        <v>3</v>
      </c>
      <c r="T13" s="181">
        <f>RANK(iScoresRounded!T13,iScoresRounded!$N13:$BK13)</f>
        <v>3</v>
      </c>
      <c r="U13" s="181">
        <f>RANK(iScoresRounded!U13,iScoresRounded!$N13:$BK13)</f>
        <v>3</v>
      </c>
      <c r="V13" s="181">
        <f>RANK(iScoresRounded!V13,iScoresRounded!$N13:$BK13)</f>
        <v>3</v>
      </c>
      <c r="W13" s="181">
        <f>RANK(iScoresRounded!W13,iScoresRounded!$N13:$BK13)</f>
        <v>3</v>
      </c>
      <c r="X13" s="181">
        <f>RANK(iScoresRounded!X13,iScoresRounded!$N13:$BK13)</f>
        <v>3</v>
      </c>
      <c r="Y13" s="181">
        <f>RANK(iScoresRounded!Y13,iScoresRounded!$N13:$BK13)</f>
        <v>3</v>
      </c>
      <c r="Z13" s="181">
        <f>RANK(iScoresRounded!Z13,iScoresRounded!$N13:$BK13)</f>
        <v>3</v>
      </c>
      <c r="AA13" s="181">
        <f>RANK(iScoresRounded!AA13,iScoresRounded!$N13:$BK13)</f>
        <v>3</v>
      </c>
      <c r="AB13" s="181">
        <f>RANK(iScoresRounded!AB13,iScoresRounded!$N13:$BK13)</f>
        <v>3</v>
      </c>
      <c r="AC13" s="181">
        <f>RANK(iScoresRounded!AC13,iScoresRounded!$N13:$BK13)</f>
        <v>3</v>
      </c>
      <c r="AD13" s="181">
        <f>RANK(iScoresRounded!AD13,iScoresRounded!$N13:$BK13)</f>
        <v>3</v>
      </c>
      <c r="AE13" s="181">
        <f>RANK(iScoresRounded!AE13,iScoresRounded!$N13:$BK13)</f>
        <v>3</v>
      </c>
      <c r="AF13" s="181">
        <f>RANK(iScoresRounded!AF13,iScoresRounded!$N13:$BK13)</f>
        <v>26</v>
      </c>
      <c r="AG13" s="181">
        <f>RANK(iScoresRounded!AG13,iScoresRounded!$N13:$BK13)</f>
        <v>26</v>
      </c>
      <c r="AH13" s="181">
        <f>RANK(iScoresRounded!AH13,iScoresRounded!$N13:$BK13)</f>
        <v>26</v>
      </c>
      <c r="AI13" s="181">
        <f>RANK(iScoresRounded!AI13,iScoresRounded!$N13:$BK13)</f>
        <v>26</v>
      </c>
      <c r="AJ13" s="181">
        <f>RANK(iScoresRounded!AJ13,iScoresRounded!$N13:$BK13)</f>
        <v>26</v>
      </c>
      <c r="AK13" s="181">
        <f>RANK(iScoresRounded!AK13,iScoresRounded!$N13:$BK13)</f>
        <v>1</v>
      </c>
      <c r="AL13" s="181">
        <f>RANK(iScoresRounded!AL13,iScoresRounded!$N13:$BK13)</f>
        <v>1</v>
      </c>
      <c r="AM13" s="181">
        <f>RANK(iScoresRounded!AM13,iScoresRounded!$N13:$BK13)</f>
        <v>3</v>
      </c>
      <c r="AN13" s="181">
        <f>RANK(iScoresRounded!AN13,iScoresRounded!$N13:$BK13)</f>
        <v>47</v>
      </c>
      <c r="AO13" s="181">
        <f>RANK(iScoresRounded!AO13,iScoresRounded!$N13:$BK13)</f>
        <v>26</v>
      </c>
      <c r="AP13" s="181">
        <f>RANK(iScoresRounded!AP13,iScoresRounded!$N13:$BK13)</f>
        <v>26</v>
      </c>
      <c r="AQ13" s="181">
        <f>RANK(iScoresRounded!AQ13,iScoresRounded!$N13:$BK13)</f>
        <v>3</v>
      </c>
      <c r="AR13" s="181">
        <f>RANK(iScoresRounded!AR13,iScoresRounded!$N13:$BK13)</f>
        <v>3</v>
      </c>
      <c r="AS13" s="181">
        <f>RANK(iScoresRounded!AS13,iScoresRounded!$N13:$BK13)</f>
        <v>26</v>
      </c>
      <c r="AT13" s="181">
        <f>RANK(iScoresRounded!AT13,iScoresRounded!$N13:$BK13)</f>
        <v>26</v>
      </c>
      <c r="AU13" s="181">
        <f>RANK(iScoresRounded!AU13,iScoresRounded!$N13:$BK13)</f>
        <v>26</v>
      </c>
      <c r="AV13" s="181">
        <f>RANK(iScoresRounded!AV13,iScoresRounded!$N13:$BK13)</f>
        <v>26</v>
      </c>
      <c r="AW13" s="181">
        <f>RANK(iScoresRounded!AW13,iScoresRounded!$N13:$BK13)</f>
        <v>26</v>
      </c>
      <c r="AX13" s="181">
        <f>RANK(iScoresRounded!AX13,iScoresRounded!$N13:$BK13)</f>
        <v>26</v>
      </c>
      <c r="AY13" s="181">
        <f>RANK(iScoresRounded!AY13,iScoresRounded!$N13:$BK13)</f>
        <v>3</v>
      </c>
      <c r="AZ13" s="181">
        <f>RANK(iScoresRounded!AZ13,iScoresRounded!$N13:$BK13)</f>
        <v>3</v>
      </c>
      <c r="BA13" s="181">
        <f>RANK(iScoresRounded!BA13,iScoresRounded!$N13:$BK13)</f>
        <v>47</v>
      </c>
      <c r="BB13" s="181">
        <f>RANK(iScoresRounded!BB13,iScoresRounded!$N13:$BK13)</f>
        <v>26</v>
      </c>
      <c r="BC13" s="181">
        <f>RANK(iScoresRounded!BC13,iScoresRounded!$N13:$BK13)</f>
        <v>47</v>
      </c>
      <c r="BD13" s="181">
        <f>RANK(iScoresRounded!BD13,iScoresRounded!$N13:$BK13)</f>
        <v>47</v>
      </c>
      <c r="BE13" s="181">
        <f>RANK(iScoresRounded!BE13,iScoresRounded!$N13:$BK13)</f>
        <v>26</v>
      </c>
      <c r="BF13" s="181">
        <f>RANK(iScoresRounded!BF13,iScoresRounded!$N13:$BK13)</f>
        <v>26</v>
      </c>
      <c r="BG13" s="181">
        <f>RANK(iScoresRounded!BG13,iScoresRounded!$N13:$BK13)</f>
        <v>3</v>
      </c>
      <c r="BH13" s="181">
        <f>RANK(iScoresRounded!BH13,iScoresRounded!$N13:$BK13)</f>
        <v>3</v>
      </c>
      <c r="BI13" s="181">
        <f>RANK(iScoresRounded!BI13,iScoresRounded!$N13:$BK13)</f>
        <v>26</v>
      </c>
      <c r="BJ13" s="181">
        <f>RANK(iScoresRounded!BJ13,iScoresRounded!$N13:$BK13)</f>
        <v>26</v>
      </c>
      <c r="BK13" s="181">
        <f>RANK(iScoresRounded!BK13,iScoresRounded!$N13:$BK13)</f>
        <v>3</v>
      </c>
    </row>
    <row r="14" s="22" customFormat="1" spans="1:63">
      <c r="A14" s="24"/>
      <c r="B14" s="24"/>
      <c r="C14" s="24"/>
      <c r="D14" s="52"/>
      <c r="E14" s="52"/>
      <c r="F14" s="52"/>
      <c r="G14" s="52"/>
      <c r="H14" s="52"/>
      <c r="I14" s="52"/>
      <c r="J14" s="52"/>
      <c r="K14" s="54"/>
      <c r="L14" s="62" t="str">
        <f>tblIndicators!Z7</f>
        <v>1.1.3) City reliance on digital infrastructure</v>
      </c>
      <c r="M14" s="63"/>
      <c r="N14" s="181">
        <f>RANK(iScoresRounded!N14,iScoresRounded!$N14:$BK14)</f>
        <v>1</v>
      </c>
      <c r="O14" s="181">
        <f>RANK(iScoresRounded!O14,iScoresRounded!$N14:$BK14)</f>
        <v>1</v>
      </c>
      <c r="P14" s="181">
        <f>RANK(iScoresRounded!P14,iScoresRounded!$N14:$BK14)</f>
        <v>1</v>
      </c>
      <c r="Q14" s="181">
        <f>RANK(iScoresRounded!Q14,iScoresRounded!$N14:$BK14)</f>
        <v>1</v>
      </c>
      <c r="R14" s="181">
        <f>RANK(iScoresRounded!R14,iScoresRounded!$N14:$BK14)</f>
        <v>1</v>
      </c>
      <c r="S14" s="181">
        <f>RANK(iScoresRounded!S14,iScoresRounded!$N14:$BK14)</f>
        <v>1</v>
      </c>
      <c r="T14" s="181">
        <f>RANK(iScoresRounded!T14,iScoresRounded!$N14:$BK14)</f>
        <v>1</v>
      </c>
      <c r="U14" s="181">
        <f>RANK(iScoresRounded!U14,iScoresRounded!$N14:$BK14)</f>
        <v>1</v>
      </c>
      <c r="V14" s="181">
        <f>RANK(iScoresRounded!V14,iScoresRounded!$N14:$BK14)</f>
        <v>1</v>
      </c>
      <c r="W14" s="181">
        <f>RANK(iScoresRounded!W14,iScoresRounded!$N14:$BK14)</f>
        <v>1</v>
      </c>
      <c r="X14" s="181">
        <f>RANK(iScoresRounded!X14,iScoresRounded!$N14:$BK14)</f>
        <v>1</v>
      </c>
      <c r="Y14" s="181">
        <f>RANK(iScoresRounded!Y14,iScoresRounded!$N14:$BK14)</f>
        <v>1</v>
      </c>
      <c r="Z14" s="181">
        <f>RANK(iScoresRounded!Z14,iScoresRounded!$N14:$BK14)</f>
        <v>1</v>
      </c>
      <c r="AA14" s="181">
        <f>RANK(iScoresRounded!AA14,iScoresRounded!$N14:$BK14)</f>
        <v>1</v>
      </c>
      <c r="AB14" s="181">
        <f>RANK(iScoresRounded!AB14,iScoresRounded!$N14:$BK14)</f>
        <v>1</v>
      </c>
      <c r="AC14" s="181">
        <f>RANK(iScoresRounded!AC14,iScoresRounded!$N14:$BK14)</f>
        <v>1</v>
      </c>
      <c r="AD14" s="181">
        <f>RANK(iScoresRounded!AD14,iScoresRounded!$N14:$BK14)</f>
        <v>1</v>
      </c>
      <c r="AE14" s="181">
        <f>RANK(iScoresRounded!AE14,iScoresRounded!$N14:$BK14)</f>
        <v>1</v>
      </c>
      <c r="AF14" s="181">
        <f>RANK(iScoresRounded!AF14,iScoresRounded!$N14:$BK14)</f>
        <v>1</v>
      </c>
      <c r="AG14" s="181">
        <f>RANK(iScoresRounded!AG14,iScoresRounded!$N14:$BK14)</f>
        <v>1</v>
      </c>
      <c r="AH14" s="181">
        <f>RANK(iScoresRounded!AH14,iScoresRounded!$N14:$BK14)</f>
        <v>1</v>
      </c>
      <c r="AI14" s="181">
        <f>RANK(iScoresRounded!AI14,iScoresRounded!$N14:$BK14)</f>
        <v>1</v>
      </c>
      <c r="AJ14" s="181">
        <f>RANK(iScoresRounded!AJ14,iScoresRounded!$N14:$BK14)</f>
        <v>1</v>
      </c>
      <c r="AK14" s="181">
        <f>RANK(iScoresRounded!AK14,iScoresRounded!$N14:$BK14)</f>
        <v>1</v>
      </c>
      <c r="AL14" s="181">
        <f>RANK(iScoresRounded!AL14,iScoresRounded!$N14:$BK14)</f>
        <v>1</v>
      </c>
      <c r="AM14" s="181">
        <f>RANK(iScoresRounded!AM14,iScoresRounded!$N14:$BK14)</f>
        <v>1</v>
      </c>
      <c r="AN14" s="181">
        <f>RANK(iScoresRounded!AN14,iScoresRounded!$N14:$BK14)</f>
        <v>1</v>
      </c>
      <c r="AO14" s="181">
        <f>RANK(iScoresRounded!AO14,iScoresRounded!$N14:$BK14)</f>
        <v>1</v>
      </c>
      <c r="AP14" s="181">
        <f>RANK(iScoresRounded!AP14,iScoresRounded!$N14:$BK14)</f>
        <v>1</v>
      </c>
      <c r="AQ14" s="181">
        <f>RANK(iScoresRounded!AQ14,iScoresRounded!$N14:$BK14)</f>
        <v>1</v>
      </c>
      <c r="AR14" s="181">
        <f>RANK(iScoresRounded!AR14,iScoresRounded!$N14:$BK14)</f>
        <v>1</v>
      </c>
      <c r="AS14" s="181">
        <f>RANK(iScoresRounded!AS14,iScoresRounded!$N14:$BK14)</f>
        <v>1</v>
      </c>
      <c r="AT14" s="181">
        <f>RANK(iScoresRounded!AT14,iScoresRounded!$N14:$BK14)</f>
        <v>1</v>
      </c>
      <c r="AU14" s="181">
        <f>RANK(iScoresRounded!AU14,iScoresRounded!$N14:$BK14)</f>
        <v>1</v>
      </c>
      <c r="AV14" s="181">
        <f>RANK(iScoresRounded!AV14,iScoresRounded!$N14:$BK14)</f>
        <v>1</v>
      </c>
      <c r="AW14" s="181">
        <f>RANK(iScoresRounded!AW14,iScoresRounded!$N14:$BK14)</f>
        <v>1</v>
      </c>
      <c r="AX14" s="181">
        <f>RANK(iScoresRounded!AX14,iScoresRounded!$N14:$BK14)</f>
        <v>1</v>
      </c>
      <c r="AY14" s="181">
        <f>RANK(iScoresRounded!AY14,iScoresRounded!$N14:$BK14)</f>
        <v>1</v>
      </c>
      <c r="AZ14" s="181">
        <f>RANK(iScoresRounded!AZ14,iScoresRounded!$N14:$BK14)</f>
        <v>1</v>
      </c>
      <c r="BA14" s="181">
        <f>RANK(iScoresRounded!BA14,iScoresRounded!$N14:$BK14)</f>
        <v>1</v>
      </c>
      <c r="BB14" s="181">
        <f>RANK(iScoresRounded!BB14,iScoresRounded!$N14:$BK14)</f>
        <v>1</v>
      </c>
      <c r="BC14" s="181">
        <f>RANK(iScoresRounded!BC14,iScoresRounded!$N14:$BK14)</f>
        <v>1</v>
      </c>
      <c r="BD14" s="181">
        <f>RANK(iScoresRounded!BD14,iScoresRounded!$N14:$BK14)</f>
        <v>1</v>
      </c>
      <c r="BE14" s="181">
        <f>RANK(iScoresRounded!BE14,iScoresRounded!$N14:$BK14)</f>
        <v>1</v>
      </c>
      <c r="BF14" s="181">
        <f>RANK(iScoresRounded!BF14,iScoresRounded!$N14:$BK14)</f>
        <v>1</v>
      </c>
      <c r="BG14" s="181">
        <f>RANK(iScoresRounded!BG14,iScoresRounded!$N14:$BK14)</f>
        <v>1</v>
      </c>
      <c r="BH14" s="181">
        <f>RANK(iScoresRounded!BH14,iScoresRounded!$N14:$BK14)</f>
        <v>1</v>
      </c>
      <c r="BI14" s="181">
        <f>RANK(iScoresRounded!BI14,iScoresRounded!$N14:$BK14)</f>
        <v>1</v>
      </c>
      <c r="BJ14" s="181">
        <f>RANK(iScoresRounded!BJ14,iScoresRounded!$N14:$BK14)</f>
        <v>1</v>
      </c>
      <c r="BK14" s="181">
        <f>RANK(iScoresRounded!BK14,iScoresRounded!$N14:$BK14)</f>
        <v>1</v>
      </c>
    </row>
    <row r="15" s="22" customFormat="1" spans="1:63">
      <c r="A15" s="24"/>
      <c r="B15" s="24"/>
      <c r="C15" s="24"/>
      <c r="D15" s="52"/>
      <c r="E15" s="52"/>
      <c r="F15" s="52"/>
      <c r="G15" s="52"/>
      <c r="H15" s="52"/>
      <c r="I15" s="52"/>
      <c r="J15" s="52"/>
      <c r="K15" s="54"/>
      <c r="L15" s="62" t="str">
        <f>tblIndicators!Z8</f>
        <v>1.1.4) Public-private partnerships</v>
      </c>
      <c r="M15" s="63"/>
      <c r="N15" s="181">
        <f>RANK(iScoresRounded!N15,iScoresRounded!$N15:$BK15)</f>
        <v>8</v>
      </c>
      <c r="O15" s="181">
        <f>RANK(iScoresRounded!O15,iScoresRounded!$N15:$BK15)</f>
        <v>8</v>
      </c>
      <c r="P15" s="181">
        <f>RANK(iScoresRounded!P15,iScoresRounded!$N15:$BK15)</f>
        <v>44</v>
      </c>
      <c r="Q15" s="181">
        <f>RANK(iScoresRounded!Q15,iScoresRounded!$N15:$BK15)</f>
        <v>8</v>
      </c>
      <c r="R15" s="181">
        <f>RANK(iScoresRounded!R15,iScoresRounded!$N15:$BK15)</f>
        <v>8</v>
      </c>
      <c r="S15" s="181">
        <f>RANK(iScoresRounded!S15,iScoresRounded!$N15:$BK15)</f>
        <v>8</v>
      </c>
      <c r="T15" s="181">
        <f>RANK(iScoresRounded!T15,iScoresRounded!$N15:$BK15)</f>
        <v>8</v>
      </c>
      <c r="U15" s="181">
        <f>RANK(iScoresRounded!U15,iScoresRounded!$N15:$BK15)</f>
        <v>8</v>
      </c>
      <c r="V15" s="181">
        <f>RANK(iScoresRounded!V15,iScoresRounded!$N15:$BK15)</f>
        <v>1</v>
      </c>
      <c r="W15" s="181">
        <f>RANK(iScoresRounded!W15,iScoresRounded!$N15:$BK15)</f>
        <v>8</v>
      </c>
      <c r="X15" s="181">
        <f>RANK(iScoresRounded!X15,iScoresRounded!$N15:$BK15)</f>
        <v>8</v>
      </c>
      <c r="Y15" s="181">
        <f>RANK(iScoresRounded!Y15,iScoresRounded!$N15:$BK15)</f>
        <v>8</v>
      </c>
      <c r="Z15" s="181">
        <f>RANK(iScoresRounded!Z15,iScoresRounded!$N15:$BK15)</f>
        <v>8</v>
      </c>
      <c r="AA15" s="181">
        <f>RANK(iScoresRounded!AA15,iScoresRounded!$N15:$BK15)</f>
        <v>1</v>
      </c>
      <c r="AB15" s="181">
        <f>RANK(iScoresRounded!AB15,iScoresRounded!$N15:$BK15)</f>
        <v>8</v>
      </c>
      <c r="AC15" s="181">
        <f>RANK(iScoresRounded!AC15,iScoresRounded!$N15:$BK15)</f>
        <v>8</v>
      </c>
      <c r="AD15" s="181">
        <f>RANK(iScoresRounded!AD15,iScoresRounded!$N15:$BK15)</f>
        <v>8</v>
      </c>
      <c r="AE15" s="181">
        <f>RANK(iScoresRounded!AE15,iScoresRounded!$N15:$BK15)</f>
        <v>1</v>
      </c>
      <c r="AF15" s="181">
        <f>RANK(iScoresRounded!AF15,iScoresRounded!$N15:$BK15)</f>
        <v>8</v>
      </c>
      <c r="AG15" s="181">
        <f>RANK(iScoresRounded!AG15,iScoresRounded!$N15:$BK15)</f>
        <v>8</v>
      </c>
      <c r="AH15" s="181">
        <f>RANK(iScoresRounded!AH15,iScoresRounded!$N15:$BK15)</f>
        <v>8</v>
      </c>
      <c r="AI15" s="181">
        <f>RANK(iScoresRounded!AI15,iScoresRounded!$N15:$BK15)</f>
        <v>8</v>
      </c>
      <c r="AJ15" s="181">
        <f>RANK(iScoresRounded!AJ15,iScoresRounded!$N15:$BK15)</f>
        <v>8</v>
      </c>
      <c r="AK15" s="181">
        <f>RANK(iScoresRounded!AK15,iScoresRounded!$N15:$BK15)</f>
        <v>1</v>
      </c>
      <c r="AL15" s="181">
        <f>RANK(iScoresRounded!AL15,iScoresRounded!$N15:$BK15)</f>
        <v>1</v>
      </c>
      <c r="AM15" s="181">
        <f>RANK(iScoresRounded!AM15,iScoresRounded!$N15:$BK15)</f>
        <v>44</v>
      </c>
      <c r="AN15" s="181">
        <f>RANK(iScoresRounded!AN15,iScoresRounded!$N15:$BK15)</f>
        <v>44</v>
      </c>
      <c r="AO15" s="181">
        <f>RANK(iScoresRounded!AO15,iScoresRounded!$N15:$BK15)</f>
        <v>1</v>
      </c>
      <c r="AP15" s="181">
        <f>RANK(iScoresRounded!AP15,iScoresRounded!$N15:$BK15)</f>
        <v>8</v>
      </c>
      <c r="AQ15" s="181">
        <f>RANK(iScoresRounded!AQ15,iScoresRounded!$N15:$BK15)</f>
        <v>1</v>
      </c>
      <c r="AR15" s="181">
        <f>RANK(iScoresRounded!AR15,iScoresRounded!$N15:$BK15)</f>
        <v>8</v>
      </c>
      <c r="AS15" s="181">
        <f>RANK(iScoresRounded!AS15,iScoresRounded!$N15:$BK15)</f>
        <v>44</v>
      </c>
      <c r="AT15" s="181">
        <f>RANK(iScoresRounded!AT15,iScoresRounded!$N15:$BK15)</f>
        <v>8</v>
      </c>
      <c r="AU15" s="181">
        <f>RANK(iScoresRounded!AU15,iScoresRounded!$N15:$BK15)</f>
        <v>8</v>
      </c>
      <c r="AV15" s="181">
        <f>RANK(iScoresRounded!AV15,iScoresRounded!$N15:$BK15)</f>
        <v>8</v>
      </c>
      <c r="AW15" s="181">
        <f>RANK(iScoresRounded!AW15,iScoresRounded!$N15:$BK15)</f>
        <v>44</v>
      </c>
      <c r="AX15" s="181">
        <f>RANK(iScoresRounded!AX15,iScoresRounded!$N15:$BK15)</f>
        <v>8</v>
      </c>
      <c r="AY15" s="181">
        <f>RANK(iScoresRounded!AY15,iScoresRounded!$N15:$BK15)</f>
        <v>8</v>
      </c>
      <c r="AZ15" s="181">
        <f>RANK(iScoresRounded!AZ15,iScoresRounded!$N15:$BK15)</f>
        <v>8</v>
      </c>
      <c r="BA15" s="181">
        <f>RANK(iScoresRounded!BA15,iScoresRounded!$N15:$BK15)</f>
        <v>8</v>
      </c>
      <c r="BB15" s="181">
        <f>RANK(iScoresRounded!BB15,iScoresRounded!$N15:$BK15)</f>
        <v>8</v>
      </c>
      <c r="BC15" s="181">
        <f>RANK(iScoresRounded!BC15,iScoresRounded!$N15:$BK15)</f>
        <v>8</v>
      </c>
      <c r="BD15" s="181">
        <f>RANK(iScoresRounded!BD15,iScoresRounded!$N15:$BK15)</f>
        <v>8</v>
      </c>
      <c r="BE15" s="181">
        <f>RANK(iScoresRounded!BE15,iScoresRounded!$N15:$BK15)</f>
        <v>8</v>
      </c>
      <c r="BF15" s="181">
        <f>RANK(iScoresRounded!BF15,iScoresRounded!$N15:$BK15)</f>
        <v>8</v>
      </c>
      <c r="BG15" s="181">
        <f>RANK(iScoresRounded!BG15,iScoresRounded!$N15:$BK15)</f>
        <v>8</v>
      </c>
      <c r="BH15" s="181">
        <f>RANK(iScoresRounded!BH15,iScoresRounded!$N15:$BK15)</f>
        <v>44</v>
      </c>
      <c r="BI15" s="181">
        <f>RANK(iScoresRounded!BI15,iScoresRounded!$N15:$BK15)</f>
        <v>8</v>
      </c>
      <c r="BJ15" s="181">
        <f>RANK(iScoresRounded!BJ15,iScoresRounded!$N15:$BK15)</f>
        <v>44</v>
      </c>
      <c r="BK15" s="181">
        <f>RANK(iScoresRounded!BK15,iScoresRounded!$N15:$BK15)</f>
        <v>8</v>
      </c>
    </row>
    <row r="16" s="22" customFormat="1" spans="1:63">
      <c r="A16" s="24"/>
      <c r="B16" s="24"/>
      <c r="C16" s="24"/>
      <c r="D16" s="52"/>
      <c r="E16" s="52"/>
      <c r="F16" s="52"/>
      <c r="G16" s="52"/>
      <c r="H16" s="52"/>
      <c r="I16" s="52"/>
      <c r="J16" s="52"/>
      <c r="K16" s="54"/>
      <c r="L16" s="62" t="str">
        <f>tblIndicators!Z9</f>
        <v>1.1.5) Level of technology employed</v>
      </c>
      <c r="M16" s="63"/>
      <c r="N16" s="181">
        <f>RANK(iScoresRounded!N16,iScoresRounded!$N16:$BK16)</f>
        <v>1</v>
      </c>
      <c r="O16" s="181">
        <f>RANK(iScoresRounded!O16,iScoresRounded!$N16:$BK16)</f>
        <v>28</v>
      </c>
      <c r="P16" s="181">
        <f>RANK(iScoresRounded!P16,iScoresRounded!$N16:$BK16)</f>
        <v>28</v>
      </c>
      <c r="Q16" s="181">
        <f>RANK(iScoresRounded!Q16,iScoresRounded!$N16:$BK16)</f>
        <v>28</v>
      </c>
      <c r="R16" s="181">
        <f>RANK(iScoresRounded!R16,iScoresRounded!$N16:$BK16)</f>
        <v>28</v>
      </c>
      <c r="S16" s="181">
        <f>RANK(iScoresRounded!S16,iScoresRounded!$N16:$BK16)</f>
        <v>1</v>
      </c>
      <c r="T16" s="181">
        <f>RANK(iScoresRounded!T16,iScoresRounded!$N16:$BK16)</f>
        <v>1</v>
      </c>
      <c r="U16" s="181">
        <f>RANK(iScoresRounded!U16,iScoresRounded!$N16:$BK16)</f>
        <v>1</v>
      </c>
      <c r="V16" s="181">
        <f>RANK(iScoresRounded!V16,iScoresRounded!$N16:$BK16)</f>
        <v>1</v>
      </c>
      <c r="W16" s="181">
        <f>RANK(iScoresRounded!W16,iScoresRounded!$N16:$BK16)</f>
        <v>1</v>
      </c>
      <c r="X16" s="181">
        <f>RANK(iScoresRounded!X16,iScoresRounded!$N16:$BK16)</f>
        <v>28</v>
      </c>
      <c r="Y16" s="181">
        <f>RANK(iScoresRounded!Y16,iScoresRounded!$N16:$BK16)</f>
        <v>28</v>
      </c>
      <c r="Z16" s="181">
        <f>RANK(iScoresRounded!Z16,iScoresRounded!$N16:$BK16)</f>
        <v>28</v>
      </c>
      <c r="AA16" s="181">
        <f>RANK(iScoresRounded!AA16,iScoresRounded!$N16:$BK16)</f>
        <v>1</v>
      </c>
      <c r="AB16" s="181">
        <f>RANK(iScoresRounded!AB16,iScoresRounded!$N16:$BK16)</f>
        <v>1</v>
      </c>
      <c r="AC16" s="181">
        <f>RANK(iScoresRounded!AC16,iScoresRounded!$N16:$BK16)</f>
        <v>1</v>
      </c>
      <c r="AD16" s="181">
        <f>RANK(iScoresRounded!AD16,iScoresRounded!$N16:$BK16)</f>
        <v>1</v>
      </c>
      <c r="AE16" s="181">
        <f>RANK(iScoresRounded!AE16,iScoresRounded!$N16:$BK16)</f>
        <v>1</v>
      </c>
      <c r="AF16" s="181">
        <f>RANK(iScoresRounded!AF16,iScoresRounded!$N16:$BK16)</f>
        <v>28</v>
      </c>
      <c r="AG16" s="181">
        <f>RANK(iScoresRounded!AG16,iScoresRounded!$N16:$BK16)</f>
        <v>28</v>
      </c>
      <c r="AH16" s="181">
        <f>RANK(iScoresRounded!AH16,iScoresRounded!$N16:$BK16)</f>
        <v>28</v>
      </c>
      <c r="AI16" s="181">
        <f>RANK(iScoresRounded!AI16,iScoresRounded!$N16:$BK16)</f>
        <v>28</v>
      </c>
      <c r="AJ16" s="181">
        <f>RANK(iScoresRounded!AJ16,iScoresRounded!$N16:$BK16)</f>
        <v>28</v>
      </c>
      <c r="AK16" s="181">
        <f>RANK(iScoresRounded!AK16,iScoresRounded!$N16:$BK16)</f>
        <v>28</v>
      </c>
      <c r="AL16" s="181">
        <f>RANK(iScoresRounded!AL16,iScoresRounded!$N16:$BK16)</f>
        <v>28</v>
      </c>
      <c r="AM16" s="181">
        <f>RANK(iScoresRounded!AM16,iScoresRounded!$N16:$BK16)</f>
        <v>28</v>
      </c>
      <c r="AN16" s="181">
        <f>RANK(iScoresRounded!AN16,iScoresRounded!$N16:$BK16)</f>
        <v>50</v>
      </c>
      <c r="AO16" s="181">
        <f>RANK(iScoresRounded!AO16,iScoresRounded!$N16:$BK16)</f>
        <v>1</v>
      </c>
      <c r="AP16" s="181">
        <f>RANK(iScoresRounded!AP16,iScoresRounded!$N16:$BK16)</f>
        <v>1</v>
      </c>
      <c r="AQ16" s="181">
        <f>RANK(iScoresRounded!AQ16,iScoresRounded!$N16:$BK16)</f>
        <v>1</v>
      </c>
      <c r="AR16" s="181">
        <f>RANK(iScoresRounded!AR16,iScoresRounded!$N16:$BK16)</f>
        <v>1</v>
      </c>
      <c r="AS16" s="181">
        <f>RANK(iScoresRounded!AS16,iScoresRounded!$N16:$BK16)</f>
        <v>1</v>
      </c>
      <c r="AT16" s="181">
        <f>RANK(iScoresRounded!AT16,iScoresRounded!$N16:$BK16)</f>
        <v>28</v>
      </c>
      <c r="AU16" s="181">
        <f>RANK(iScoresRounded!AU16,iScoresRounded!$N16:$BK16)</f>
        <v>28</v>
      </c>
      <c r="AV16" s="181">
        <f>RANK(iScoresRounded!AV16,iScoresRounded!$N16:$BK16)</f>
        <v>28</v>
      </c>
      <c r="AW16" s="181">
        <f>RANK(iScoresRounded!AW16,iScoresRounded!$N16:$BK16)</f>
        <v>28</v>
      </c>
      <c r="AX16" s="181">
        <f>RANK(iScoresRounded!AX16,iScoresRounded!$N16:$BK16)</f>
        <v>28</v>
      </c>
      <c r="AY16" s="181">
        <f>RANK(iScoresRounded!AY16,iScoresRounded!$N16:$BK16)</f>
        <v>1</v>
      </c>
      <c r="AZ16" s="181">
        <f>RANK(iScoresRounded!AZ16,iScoresRounded!$N16:$BK16)</f>
        <v>1</v>
      </c>
      <c r="BA16" s="181">
        <f>RANK(iScoresRounded!BA16,iScoresRounded!$N16:$BK16)</f>
        <v>1</v>
      </c>
      <c r="BB16" s="181">
        <f>RANK(iScoresRounded!BB16,iScoresRounded!$N16:$BK16)</f>
        <v>1</v>
      </c>
      <c r="BC16" s="181">
        <f>RANK(iScoresRounded!BC16,iScoresRounded!$N16:$BK16)</f>
        <v>1</v>
      </c>
      <c r="BD16" s="181">
        <f>RANK(iScoresRounded!BD16,iScoresRounded!$N16:$BK16)</f>
        <v>1</v>
      </c>
      <c r="BE16" s="181">
        <f>RANK(iScoresRounded!BE16,iScoresRounded!$N16:$BK16)</f>
        <v>1</v>
      </c>
      <c r="BF16" s="181">
        <f>RANK(iScoresRounded!BF16,iScoresRounded!$N16:$BK16)</f>
        <v>28</v>
      </c>
      <c r="BG16" s="181">
        <f>RANK(iScoresRounded!BG16,iScoresRounded!$N16:$BK16)</f>
        <v>1</v>
      </c>
      <c r="BH16" s="181">
        <f>RANK(iScoresRounded!BH16,iScoresRounded!$N16:$BK16)</f>
        <v>1</v>
      </c>
      <c r="BI16" s="181">
        <f>RANK(iScoresRounded!BI16,iScoresRounded!$N16:$BK16)</f>
        <v>1</v>
      </c>
      <c r="BJ16" s="181">
        <f>RANK(iScoresRounded!BJ16,iScoresRounded!$N16:$BK16)</f>
        <v>28</v>
      </c>
      <c r="BK16" s="181">
        <f>RANK(iScoresRounded!BK16,iScoresRounded!$N16:$BK16)</f>
        <v>1</v>
      </c>
    </row>
    <row r="17" s="22" customFormat="1" spans="1:63">
      <c r="A17" s="24"/>
      <c r="B17" s="24"/>
      <c r="C17" s="24"/>
      <c r="D17" s="52"/>
      <c r="E17" s="52"/>
      <c r="F17" s="52"/>
      <c r="G17" s="52"/>
      <c r="H17" s="52"/>
      <c r="I17" s="52"/>
      <c r="J17" s="52"/>
      <c r="K17" s="54"/>
      <c r="L17" s="62" t="str">
        <f>tblIndicators!Z10</f>
        <v>1.1.6) Dedicated cyber security teams</v>
      </c>
      <c r="M17" s="63"/>
      <c r="N17" s="181">
        <f>RANK(iScoresRounded!N17,iScoresRounded!$N17:$BK17)</f>
        <v>15</v>
      </c>
      <c r="O17" s="181">
        <f>RANK(iScoresRounded!O17,iScoresRounded!$N17:$BK17)</f>
        <v>15</v>
      </c>
      <c r="P17" s="181">
        <f>RANK(iScoresRounded!P17,iScoresRounded!$N17:$BK17)</f>
        <v>15</v>
      </c>
      <c r="Q17" s="181">
        <f>RANK(iScoresRounded!Q17,iScoresRounded!$N17:$BK17)</f>
        <v>15</v>
      </c>
      <c r="R17" s="181">
        <f>RANK(iScoresRounded!R17,iScoresRounded!$N17:$BK17)</f>
        <v>15</v>
      </c>
      <c r="S17" s="181">
        <f>RANK(iScoresRounded!S17,iScoresRounded!$N17:$BK17)</f>
        <v>1</v>
      </c>
      <c r="T17" s="181">
        <f>RANK(iScoresRounded!T17,iScoresRounded!$N17:$BK17)</f>
        <v>1</v>
      </c>
      <c r="U17" s="181">
        <f>RANK(iScoresRounded!U17,iScoresRounded!$N17:$BK17)</f>
        <v>1</v>
      </c>
      <c r="V17" s="181">
        <f>RANK(iScoresRounded!V17,iScoresRounded!$N17:$BK17)</f>
        <v>15</v>
      </c>
      <c r="W17" s="181">
        <f>RANK(iScoresRounded!W17,iScoresRounded!$N17:$BK17)</f>
        <v>1</v>
      </c>
      <c r="X17" s="181">
        <f>RANK(iScoresRounded!X17,iScoresRounded!$N17:$BK17)</f>
        <v>15</v>
      </c>
      <c r="Y17" s="181">
        <f>RANK(iScoresRounded!Y17,iScoresRounded!$N17:$BK17)</f>
        <v>15</v>
      </c>
      <c r="Z17" s="181">
        <f>RANK(iScoresRounded!Z17,iScoresRounded!$N17:$BK17)</f>
        <v>15</v>
      </c>
      <c r="AA17" s="181">
        <f>RANK(iScoresRounded!AA17,iScoresRounded!$N17:$BK17)</f>
        <v>1</v>
      </c>
      <c r="AB17" s="181">
        <f>RANK(iScoresRounded!AB17,iScoresRounded!$N17:$BK17)</f>
        <v>15</v>
      </c>
      <c r="AC17" s="181">
        <f>RANK(iScoresRounded!AC17,iScoresRounded!$N17:$BK17)</f>
        <v>1</v>
      </c>
      <c r="AD17" s="181">
        <f>RANK(iScoresRounded!AD17,iScoresRounded!$N17:$BK17)</f>
        <v>15</v>
      </c>
      <c r="AE17" s="181">
        <f>RANK(iScoresRounded!AE17,iScoresRounded!$N17:$BK17)</f>
        <v>1</v>
      </c>
      <c r="AF17" s="181">
        <f>RANK(iScoresRounded!AF17,iScoresRounded!$N17:$BK17)</f>
        <v>15</v>
      </c>
      <c r="AG17" s="181">
        <f>RANK(iScoresRounded!AG17,iScoresRounded!$N17:$BK17)</f>
        <v>15</v>
      </c>
      <c r="AH17" s="181">
        <f>RANK(iScoresRounded!AH17,iScoresRounded!$N17:$BK17)</f>
        <v>1</v>
      </c>
      <c r="AI17" s="181">
        <f>RANK(iScoresRounded!AI17,iScoresRounded!$N17:$BK17)</f>
        <v>15</v>
      </c>
      <c r="AJ17" s="181">
        <f>RANK(iScoresRounded!AJ17,iScoresRounded!$N17:$BK17)</f>
        <v>15</v>
      </c>
      <c r="AK17" s="181">
        <f>RANK(iScoresRounded!AK17,iScoresRounded!$N17:$BK17)</f>
        <v>1</v>
      </c>
      <c r="AL17" s="181">
        <f>RANK(iScoresRounded!AL17,iScoresRounded!$N17:$BK17)</f>
        <v>15</v>
      </c>
      <c r="AM17" s="181">
        <f>RANK(iScoresRounded!AM17,iScoresRounded!$N17:$BK17)</f>
        <v>15</v>
      </c>
      <c r="AN17" s="181">
        <f>RANK(iScoresRounded!AN17,iScoresRounded!$N17:$BK17)</f>
        <v>15</v>
      </c>
      <c r="AO17" s="181">
        <f>RANK(iScoresRounded!AO17,iScoresRounded!$N17:$BK17)</f>
        <v>1</v>
      </c>
      <c r="AP17" s="181">
        <f>RANK(iScoresRounded!AP17,iScoresRounded!$N17:$BK17)</f>
        <v>15</v>
      </c>
      <c r="AQ17" s="181">
        <f>RANK(iScoresRounded!AQ17,iScoresRounded!$N17:$BK17)</f>
        <v>1</v>
      </c>
      <c r="AR17" s="181">
        <f>RANK(iScoresRounded!AR17,iScoresRounded!$N17:$BK17)</f>
        <v>15</v>
      </c>
      <c r="AS17" s="181">
        <f>RANK(iScoresRounded!AS17,iScoresRounded!$N17:$BK17)</f>
        <v>15</v>
      </c>
      <c r="AT17" s="181">
        <f>RANK(iScoresRounded!AT17,iScoresRounded!$N17:$BK17)</f>
        <v>15</v>
      </c>
      <c r="AU17" s="181">
        <f>RANK(iScoresRounded!AU17,iScoresRounded!$N17:$BK17)</f>
        <v>15</v>
      </c>
      <c r="AV17" s="181">
        <f>RANK(iScoresRounded!AV17,iScoresRounded!$N17:$BK17)</f>
        <v>15</v>
      </c>
      <c r="AW17" s="181">
        <f>RANK(iScoresRounded!AW17,iScoresRounded!$N17:$BK17)</f>
        <v>15</v>
      </c>
      <c r="AX17" s="181">
        <f>RANK(iScoresRounded!AX17,iScoresRounded!$N17:$BK17)</f>
        <v>15</v>
      </c>
      <c r="AY17" s="181">
        <f>RANK(iScoresRounded!AY17,iScoresRounded!$N17:$BK17)</f>
        <v>1</v>
      </c>
      <c r="AZ17" s="181">
        <f>RANK(iScoresRounded!AZ17,iScoresRounded!$N17:$BK17)</f>
        <v>15</v>
      </c>
      <c r="BA17" s="181">
        <f>RANK(iScoresRounded!BA17,iScoresRounded!$N17:$BK17)</f>
        <v>15</v>
      </c>
      <c r="BB17" s="181">
        <f>RANK(iScoresRounded!BB17,iScoresRounded!$N17:$BK17)</f>
        <v>15</v>
      </c>
      <c r="BC17" s="181">
        <f>RANK(iScoresRounded!BC17,iScoresRounded!$N17:$BK17)</f>
        <v>15</v>
      </c>
      <c r="BD17" s="181">
        <f>RANK(iScoresRounded!BD17,iScoresRounded!$N17:$BK17)</f>
        <v>1</v>
      </c>
      <c r="BE17" s="181">
        <f>RANK(iScoresRounded!BE17,iScoresRounded!$N17:$BK17)</f>
        <v>15</v>
      </c>
      <c r="BF17" s="181">
        <f>RANK(iScoresRounded!BF17,iScoresRounded!$N17:$BK17)</f>
        <v>15</v>
      </c>
      <c r="BG17" s="181">
        <f>RANK(iScoresRounded!BG17,iScoresRounded!$N17:$BK17)</f>
        <v>15</v>
      </c>
      <c r="BH17" s="181">
        <f>RANK(iScoresRounded!BH17,iScoresRounded!$N17:$BK17)</f>
        <v>1</v>
      </c>
      <c r="BI17" s="181">
        <f>RANK(iScoresRounded!BI17,iScoresRounded!$N17:$BK17)</f>
        <v>15</v>
      </c>
      <c r="BJ17" s="181">
        <f>RANK(iScoresRounded!BJ17,iScoresRounded!$N17:$BK17)</f>
        <v>15</v>
      </c>
      <c r="BK17" s="181">
        <f>RANK(iScoresRounded!BK17,iScoresRounded!$N17:$BK17)</f>
        <v>15</v>
      </c>
    </row>
    <row r="18" s="22" customFormat="1" spans="1:63">
      <c r="A18" s="24"/>
      <c r="B18" s="24"/>
      <c r="C18" s="24"/>
      <c r="D18" s="52"/>
      <c r="E18" s="52"/>
      <c r="F18" s="52"/>
      <c r="G18" s="52"/>
      <c r="H18" s="52"/>
      <c r="I18" s="52"/>
      <c r="J18" s="52"/>
      <c r="K18" s="54"/>
      <c r="L18" s="62" t="str">
        <f>tblIndicators!Z11</f>
        <v>1.2) Digital Security (Outputs)</v>
      </c>
      <c r="M18" s="63"/>
      <c r="N18" s="181">
        <f>RANK(iScoresRounded!N18,iScoresRounded!$N18:$BK18)</f>
        <v>8</v>
      </c>
      <c r="O18" s="181">
        <f>RANK(iScoresRounded!O18,iScoresRounded!$N18:$BK18)</f>
        <v>31</v>
      </c>
      <c r="P18" s="181">
        <f>RANK(iScoresRounded!P18,iScoresRounded!$N18:$BK18)</f>
        <v>6</v>
      </c>
      <c r="Q18" s="181">
        <f>RANK(iScoresRounded!Q18,iScoresRounded!$N18:$BK18)</f>
        <v>35</v>
      </c>
      <c r="R18" s="181">
        <f>RANK(iScoresRounded!R18,iScoresRounded!$N18:$BK18)</f>
        <v>37</v>
      </c>
      <c r="S18" s="181">
        <f>RANK(iScoresRounded!S18,iScoresRounded!$N18:$BK18)</f>
        <v>16</v>
      </c>
      <c r="T18" s="181">
        <f>RANK(iScoresRounded!T18,iScoresRounded!$N18:$BK18)</f>
        <v>21</v>
      </c>
      <c r="U18" s="181">
        <f>RANK(iScoresRounded!U18,iScoresRounded!$N18:$BK18)</f>
        <v>19</v>
      </c>
      <c r="V18" s="181">
        <f>RANK(iScoresRounded!V18,iScoresRounded!$N18:$BK18)</f>
        <v>19</v>
      </c>
      <c r="W18" s="181">
        <f>RANK(iScoresRounded!W18,iScoresRounded!$N18:$BK18)</f>
        <v>23</v>
      </c>
      <c r="X18" s="181">
        <f>RANK(iScoresRounded!X18,iScoresRounded!$N18:$BK18)</f>
        <v>28</v>
      </c>
      <c r="Y18" s="181">
        <f>RANK(iScoresRounded!Y18,iScoresRounded!$N18:$BK18)</f>
        <v>43</v>
      </c>
      <c r="Z18" s="181">
        <f>RANK(iScoresRounded!Z18,iScoresRounded!$N18:$BK18)</f>
        <v>7</v>
      </c>
      <c r="AA18" s="181">
        <f>RANK(iScoresRounded!AA18,iScoresRounded!$N18:$BK18)</f>
        <v>18</v>
      </c>
      <c r="AB18" s="181">
        <f>RANK(iScoresRounded!AB18,iScoresRounded!$N18:$BK18)</f>
        <v>16</v>
      </c>
      <c r="AC18" s="181">
        <f>RANK(iScoresRounded!AC18,iScoresRounded!$N18:$BK18)</f>
        <v>24</v>
      </c>
      <c r="AD18" s="181">
        <f>RANK(iScoresRounded!AD18,iScoresRounded!$N18:$BK18)</f>
        <v>25</v>
      </c>
      <c r="AE18" s="181">
        <f>RANK(iScoresRounded!AE18,iScoresRounded!$N18:$BK18)</f>
        <v>13</v>
      </c>
      <c r="AF18" s="181">
        <f>RANK(iScoresRounded!AF18,iScoresRounded!$N18:$BK18)</f>
        <v>36</v>
      </c>
      <c r="AG18" s="181">
        <f>RANK(iScoresRounded!AG18,iScoresRounded!$N18:$BK18)</f>
        <v>38</v>
      </c>
      <c r="AH18" s="181">
        <f>RANK(iScoresRounded!AH18,iScoresRounded!$N18:$BK18)</f>
        <v>33</v>
      </c>
      <c r="AI18" s="181">
        <f>RANK(iScoresRounded!AI18,iScoresRounded!$N18:$BK18)</f>
        <v>40</v>
      </c>
      <c r="AJ18" s="181">
        <f>RANK(iScoresRounded!AJ18,iScoresRounded!$N18:$BK18)</f>
        <v>41</v>
      </c>
      <c r="AK18" s="181">
        <f>RANK(iScoresRounded!AK18,iScoresRounded!$N18:$BK18)</f>
        <v>46</v>
      </c>
      <c r="AL18" s="181">
        <f>RANK(iScoresRounded!AL18,iScoresRounded!$N18:$BK18)</f>
        <v>44</v>
      </c>
      <c r="AM18" s="181">
        <f>RANK(iScoresRounded!AM18,iScoresRounded!$N18:$BK18)</f>
        <v>49</v>
      </c>
      <c r="AN18" s="181">
        <f>RANK(iScoresRounded!AN18,iScoresRounded!$N18:$BK18)</f>
        <v>34</v>
      </c>
      <c r="AO18" s="181">
        <f>RANK(iScoresRounded!AO18,iScoresRounded!$N18:$BK18)</f>
        <v>1</v>
      </c>
      <c r="AP18" s="181">
        <f>RANK(iScoresRounded!AP18,iScoresRounded!$N18:$BK18)</f>
        <v>2</v>
      </c>
      <c r="AQ18" s="181">
        <f>RANK(iScoresRounded!AQ18,iScoresRounded!$N18:$BK18)</f>
        <v>4</v>
      </c>
      <c r="AR18" s="181">
        <f>RANK(iScoresRounded!AR18,iScoresRounded!$N18:$BK18)</f>
        <v>50</v>
      </c>
      <c r="AS18" s="181">
        <f>RANK(iScoresRounded!AS18,iScoresRounded!$N18:$BK18)</f>
        <v>5</v>
      </c>
      <c r="AT18" s="181">
        <f>RANK(iScoresRounded!AT18,iScoresRounded!$N18:$BK18)</f>
        <v>48</v>
      </c>
      <c r="AU18" s="181">
        <f>RANK(iScoresRounded!AU18,iScoresRounded!$N18:$BK18)</f>
        <v>47</v>
      </c>
      <c r="AV18" s="181">
        <f>RANK(iScoresRounded!AV18,iScoresRounded!$N18:$BK18)</f>
        <v>15</v>
      </c>
      <c r="AW18" s="181">
        <f>RANK(iScoresRounded!AW18,iScoresRounded!$N18:$BK18)</f>
        <v>11</v>
      </c>
      <c r="AX18" s="181">
        <f>RANK(iScoresRounded!AX18,iScoresRounded!$N18:$BK18)</f>
        <v>39</v>
      </c>
      <c r="AY18" s="181">
        <f>RANK(iScoresRounded!AY18,iScoresRounded!$N18:$BK18)</f>
        <v>9</v>
      </c>
      <c r="AZ18" s="181">
        <f>RANK(iScoresRounded!AZ18,iScoresRounded!$N18:$BK18)</f>
        <v>14</v>
      </c>
      <c r="BA18" s="181">
        <f>RANK(iScoresRounded!BA18,iScoresRounded!$N18:$BK18)</f>
        <v>27</v>
      </c>
      <c r="BB18" s="181">
        <f>RANK(iScoresRounded!BB18,iScoresRounded!$N18:$BK18)</f>
        <v>29</v>
      </c>
      <c r="BC18" s="181">
        <f>RANK(iScoresRounded!BC18,iScoresRounded!$N18:$BK18)</f>
        <v>26</v>
      </c>
      <c r="BD18" s="181">
        <f>RANK(iScoresRounded!BD18,iScoresRounded!$N18:$BK18)</f>
        <v>22</v>
      </c>
      <c r="BE18" s="181">
        <f>RANK(iScoresRounded!BE18,iScoresRounded!$N18:$BK18)</f>
        <v>3</v>
      </c>
      <c r="BF18" s="181">
        <f>RANK(iScoresRounded!BF18,iScoresRounded!$N18:$BK18)</f>
        <v>45</v>
      </c>
      <c r="BG18" s="181">
        <f>RANK(iScoresRounded!BG18,iScoresRounded!$N18:$BK18)</f>
        <v>30</v>
      </c>
      <c r="BH18" s="181">
        <f>RANK(iScoresRounded!BH18,iScoresRounded!$N18:$BK18)</f>
        <v>32</v>
      </c>
      <c r="BI18" s="181">
        <f>RANK(iScoresRounded!BI18,iScoresRounded!$N18:$BK18)</f>
        <v>10</v>
      </c>
      <c r="BJ18" s="181">
        <f>RANK(iScoresRounded!BJ18,iScoresRounded!$N18:$BK18)</f>
        <v>42</v>
      </c>
      <c r="BK18" s="181">
        <f>RANK(iScoresRounded!BK18,iScoresRounded!$N18:$BK18)</f>
        <v>12</v>
      </c>
    </row>
    <row r="19" s="22" customFormat="1" spans="1:63">
      <c r="A19" s="24"/>
      <c r="B19" s="24"/>
      <c r="C19" s="24"/>
      <c r="D19" s="52"/>
      <c r="E19" s="52"/>
      <c r="F19" s="52"/>
      <c r="G19" s="52"/>
      <c r="H19" s="52"/>
      <c r="I19" s="52"/>
      <c r="J19" s="52"/>
      <c r="K19" s="54"/>
      <c r="L19" s="62" t="str">
        <f>tblIndicators!Z12</f>
        <v>1.2.1) Frequency of identity theft</v>
      </c>
      <c r="M19" s="63"/>
      <c r="N19" s="181">
        <f>RANK(iScoresRounded!N19,iScoresRounded!$N19:$BK19)</f>
        <v>20</v>
      </c>
      <c r="O19" s="181">
        <f>RANK(iScoresRounded!O19,iScoresRounded!$N19:$BK19)</f>
        <v>42</v>
      </c>
      <c r="P19" s="181">
        <f>RANK(iScoresRounded!P19,iScoresRounded!$N19:$BK19)</f>
        <v>6</v>
      </c>
      <c r="Q19" s="181">
        <f>RANK(iScoresRounded!Q19,iScoresRounded!$N19:$BK19)</f>
        <v>37</v>
      </c>
      <c r="R19" s="181">
        <f>RANK(iScoresRounded!R19,iScoresRounded!$N19:$BK19)</f>
        <v>37</v>
      </c>
      <c r="S19" s="181">
        <f>RANK(iScoresRounded!S19,iScoresRounded!$N19:$BK19)</f>
        <v>22</v>
      </c>
      <c r="T19" s="181">
        <f>RANK(iScoresRounded!T19,iScoresRounded!$N19:$BK19)</f>
        <v>22</v>
      </c>
      <c r="U19" s="181">
        <f>RANK(iScoresRounded!U19,iScoresRounded!$N19:$BK19)</f>
        <v>22</v>
      </c>
      <c r="V19" s="181">
        <f>RANK(iScoresRounded!V19,iScoresRounded!$N19:$BK19)</f>
        <v>22</v>
      </c>
      <c r="W19" s="181">
        <f>RANK(iScoresRounded!W19,iScoresRounded!$N19:$BK19)</f>
        <v>22</v>
      </c>
      <c r="X19" s="181">
        <f>RANK(iScoresRounded!X19,iScoresRounded!$N19:$BK19)</f>
        <v>34</v>
      </c>
      <c r="Y19" s="181">
        <f>RANK(iScoresRounded!Y19,iScoresRounded!$N19:$BK19)</f>
        <v>4</v>
      </c>
      <c r="Z19" s="181">
        <f>RANK(iScoresRounded!Z19,iScoresRounded!$N19:$BK19)</f>
        <v>6</v>
      </c>
      <c r="AA19" s="181">
        <f>RANK(iScoresRounded!AA19,iScoresRounded!$N19:$BK19)</f>
        <v>22</v>
      </c>
      <c r="AB19" s="181">
        <f>RANK(iScoresRounded!AB19,iScoresRounded!$N19:$BK19)</f>
        <v>22</v>
      </c>
      <c r="AC19" s="181">
        <f>RANK(iScoresRounded!AC19,iScoresRounded!$N19:$BK19)</f>
        <v>29</v>
      </c>
      <c r="AD19" s="181">
        <f>RANK(iScoresRounded!AD19,iScoresRounded!$N19:$BK19)</f>
        <v>29</v>
      </c>
      <c r="AE19" s="181">
        <f>RANK(iScoresRounded!AE19,iScoresRounded!$N19:$BK19)</f>
        <v>6</v>
      </c>
      <c r="AF19" s="181">
        <f>RANK(iScoresRounded!AF19,iScoresRounded!$N19:$BK19)</f>
        <v>45</v>
      </c>
      <c r="AG19" s="181">
        <f>RANK(iScoresRounded!AG19,iScoresRounded!$N19:$BK19)</f>
        <v>45</v>
      </c>
      <c r="AH19" s="181">
        <f>RANK(iScoresRounded!AH19,iScoresRounded!$N19:$BK19)</f>
        <v>45</v>
      </c>
      <c r="AI19" s="181">
        <f>RANK(iScoresRounded!AI19,iScoresRounded!$N19:$BK19)</f>
        <v>45</v>
      </c>
      <c r="AJ19" s="181">
        <f>RANK(iScoresRounded!AJ19,iScoresRounded!$N19:$BK19)</f>
        <v>45</v>
      </c>
      <c r="AK19" s="181">
        <f>RANK(iScoresRounded!AK19,iScoresRounded!$N19:$BK19)</f>
        <v>42</v>
      </c>
      <c r="AL19" s="181">
        <f>RANK(iScoresRounded!AL19,iScoresRounded!$N19:$BK19)</f>
        <v>42</v>
      </c>
      <c r="AM19" s="181">
        <f>RANK(iScoresRounded!AM19,iScoresRounded!$N19:$BK19)</f>
        <v>41</v>
      </c>
      <c r="AN19" s="181">
        <f>RANK(iScoresRounded!AN19,iScoresRounded!$N19:$BK19)</f>
        <v>1</v>
      </c>
      <c r="AO19" s="181">
        <f>RANK(iScoresRounded!AO19,iScoresRounded!$N19:$BK19)</f>
        <v>15</v>
      </c>
      <c r="AP19" s="181">
        <f>RANK(iScoresRounded!AP19,iScoresRounded!$N19:$BK19)</f>
        <v>15</v>
      </c>
      <c r="AQ19" s="181">
        <f>RANK(iScoresRounded!AQ19,iScoresRounded!$N19:$BK19)</f>
        <v>37</v>
      </c>
      <c r="AR19" s="181">
        <f>RANK(iScoresRounded!AR19,iScoresRounded!$N19:$BK19)</f>
        <v>50</v>
      </c>
      <c r="AS19" s="181">
        <f>RANK(iScoresRounded!AS19,iScoresRounded!$N19:$BK19)</f>
        <v>6</v>
      </c>
      <c r="AT19" s="181">
        <f>RANK(iScoresRounded!AT19,iScoresRounded!$N19:$BK19)</f>
        <v>6</v>
      </c>
      <c r="AU19" s="181">
        <f>RANK(iScoresRounded!AU19,iScoresRounded!$N19:$BK19)</f>
        <v>6</v>
      </c>
      <c r="AV19" s="181">
        <f>RANK(iScoresRounded!AV19,iScoresRounded!$N19:$BK19)</f>
        <v>6</v>
      </c>
      <c r="AW19" s="181">
        <f>RANK(iScoresRounded!AW19,iScoresRounded!$N19:$BK19)</f>
        <v>6</v>
      </c>
      <c r="AX19" s="181">
        <f>RANK(iScoresRounded!AX19,iScoresRounded!$N19:$BK19)</f>
        <v>29</v>
      </c>
      <c r="AY19" s="181">
        <f>RANK(iScoresRounded!AY19,iScoresRounded!$N19:$BK19)</f>
        <v>6</v>
      </c>
      <c r="AZ19" s="181">
        <f>RANK(iScoresRounded!AZ19,iScoresRounded!$N19:$BK19)</f>
        <v>19</v>
      </c>
      <c r="BA19" s="181">
        <f>RANK(iScoresRounded!BA19,iScoresRounded!$N19:$BK19)</f>
        <v>15</v>
      </c>
      <c r="BB19" s="181">
        <f>RANK(iScoresRounded!BB19,iScoresRounded!$N19:$BK19)</f>
        <v>29</v>
      </c>
      <c r="BC19" s="181">
        <f>RANK(iScoresRounded!BC19,iScoresRounded!$N19:$BK19)</f>
        <v>1</v>
      </c>
      <c r="BD19" s="181">
        <f>RANK(iScoresRounded!BD19,iScoresRounded!$N19:$BK19)</f>
        <v>1</v>
      </c>
      <c r="BE19" s="181">
        <f>RANK(iScoresRounded!BE19,iScoresRounded!$N19:$BK19)</f>
        <v>5</v>
      </c>
      <c r="BF19" s="181">
        <f>RANK(iScoresRounded!BF19,iScoresRounded!$N19:$BK19)</f>
        <v>37</v>
      </c>
      <c r="BG19" s="181">
        <f>RANK(iScoresRounded!BG19,iScoresRounded!$N19:$BK19)</f>
        <v>34</v>
      </c>
      <c r="BH19" s="181">
        <f>RANK(iScoresRounded!BH19,iScoresRounded!$N19:$BK19)</f>
        <v>34</v>
      </c>
      <c r="BI19" s="181">
        <f>RANK(iScoresRounded!BI19,iScoresRounded!$N19:$BK19)</f>
        <v>15</v>
      </c>
      <c r="BJ19" s="181">
        <f>RANK(iScoresRounded!BJ19,iScoresRounded!$N19:$BK19)</f>
        <v>29</v>
      </c>
      <c r="BK19" s="181">
        <f>RANK(iScoresRounded!BK19,iScoresRounded!$N19:$BK19)</f>
        <v>21</v>
      </c>
    </row>
    <row r="20" s="22" customFormat="1" spans="1:63">
      <c r="A20" s="24"/>
      <c r="B20" s="24"/>
      <c r="C20" s="24"/>
      <c r="D20" s="52"/>
      <c r="E20" s="52"/>
      <c r="F20" s="52"/>
      <c r="G20" s="52"/>
      <c r="H20" s="52"/>
      <c r="I20" s="52"/>
      <c r="J20" s="52"/>
      <c r="K20" s="54"/>
      <c r="L20" s="62" t="str">
        <f>tblIndicators!Z13</f>
        <v>1.2.2) Precentage of computers infected</v>
      </c>
      <c r="M20" s="63"/>
      <c r="N20" s="181">
        <f>RANK(iScoresRounded!N20,iScoresRounded!$N20:$BK20)</f>
        <v>10</v>
      </c>
      <c r="O20" s="181">
        <f>RANK(iScoresRounded!O20,iScoresRounded!$N20:$BK20)</f>
        <v>4</v>
      </c>
      <c r="P20" s="181">
        <f>RANK(iScoresRounded!P20,iScoresRounded!$N20:$BK20)</f>
        <v>4</v>
      </c>
      <c r="Q20" s="181">
        <f>RANK(iScoresRounded!Q20,iScoresRounded!$N20:$BK20)</f>
        <v>10</v>
      </c>
      <c r="R20" s="181">
        <f>RANK(iScoresRounded!R20,iScoresRounded!$N20:$BK20)</f>
        <v>10</v>
      </c>
      <c r="S20" s="181">
        <f>RANK(iScoresRounded!S20,iScoresRounded!$N20:$BK20)</f>
        <v>10</v>
      </c>
      <c r="T20" s="181">
        <f>RANK(iScoresRounded!T20,iScoresRounded!$N20:$BK20)</f>
        <v>10</v>
      </c>
      <c r="U20" s="181">
        <f>RANK(iScoresRounded!U20,iScoresRounded!$N20:$BK20)</f>
        <v>10</v>
      </c>
      <c r="V20" s="181">
        <f>RANK(iScoresRounded!V20,iScoresRounded!$N20:$BK20)</f>
        <v>10</v>
      </c>
      <c r="W20" s="181">
        <f>RANK(iScoresRounded!W20,iScoresRounded!$N20:$BK20)</f>
        <v>10</v>
      </c>
      <c r="X20" s="181">
        <f>RANK(iScoresRounded!X20,iScoresRounded!$N20:$BK20)</f>
        <v>4</v>
      </c>
      <c r="Y20" s="181">
        <f>RANK(iScoresRounded!Y20,iScoresRounded!$N20:$BK20)</f>
        <v>10</v>
      </c>
      <c r="Z20" s="181">
        <f>RANK(iScoresRounded!Z20,iScoresRounded!$N20:$BK20)</f>
        <v>4</v>
      </c>
      <c r="AA20" s="181">
        <f>RANK(iScoresRounded!AA20,iScoresRounded!$N20:$BK20)</f>
        <v>10</v>
      </c>
      <c r="AB20" s="181">
        <f>RANK(iScoresRounded!AB20,iScoresRounded!$N20:$BK20)</f>
        <v>10</v>
      </c>
      <c r="AC20" s="181">
        <f>RANK(iScoresRounded!AC20,iScoresRounded!$N20:$BK20)</f>
        <v>10</v>
      </c>
      <c r="AD20" s="181">
        <f>RANK(iScoresRounded!AD20,iScoresRounded!$N20:$BK20)</f>
        <v>10</v>
      </c>
      <c r="AE20" s="181">
        <f>RANK(iScoresRounded!AE20,iScoresRounded!$N20:$BK20)</f>
        <v>10</v>
      </c>
      <c r="AF20" s="181">
        <f>RANK(iScoresRounded!AF20,iScoresRounded!$N20:$BK20)</f>
        <v>10</v>
      </c>
      <c r="AG20" s="181">
        <f>RANK(iScoresRounded!AG20,iScoresRounded!$N20:$BK20)</f>
        <v>10</v>
      </c>
      <c r="AH20" s="181">
        <f>RANK(iScoresRounded!AH20,iScoresRounded!$N20:$BK20)</f>
        <v>10</v>
      </c>
      <c r="AI20" s="181">
        <f>RANK(iScoresRounded!AI20,iScoresRounded!$N20:$BK20)</f>
        <v>10</v>
      </c>
      <c r="AJ20" s="181">
        <f>RANK(iScoresRounded!AJ20,iScoresRounded!$N20:$BK20)</f>
        <v>10</v>
      </c>
      <c r="AK20" s="181">
        <f>RANK(iScoresRounded!AK20,iScoresRounded!$N20:$BK20)</f>
        <v>10</v>
      </c>
      <c r="AL20" s="181">
        <f>RANK(iScoresRounded!AL20,iScoresRounded!$N20:$BK20)</f>
        <v>10</v>
      </c>
      <c r="AM20" s="181">
        <f>RANK(iScoresRounded!AM20,iScoresRounded!$N20:$BK20)</f>
        <v>10</v>
      </c>
      <c r="AN20" s="181">
        <f>RANK(iScoresRounded!AN20,iScoresRounded!$N20:$BK20)</f>
        <v>10</v>
      </c>
      <c r="AO20" s="181">
        <f>RANK(iScoresRounded!AO20,iScoresRounded!$N20:$BK20)</f>
        <v>1</v>
      </c>
      <c r="AP20" s="181">
        <f>RANK(iScoresRounded!AP20,iScoresRounded!$N20:$BK20)</f>
        <v>1</v>
      </c>
      <c r="AQ20" s="181">
        <f>RANK(iScoresRounded!AQ20,iScoresRounded!$N20:$BK20)</f>
        <v>1</v>
      </c>
      <c r="AR20" s="181">
        <f>RANK(iScoresRounded!AR20,iScoresRounded!$N20:$BK20)</f>
        <v>10</v>
      </c>
      <c r="AS20" s="181">
        <f>RANK(iScoresRounded!AS20,iScoresRounded!$N20:$BK20)</f>
        <v>4</v>
      </c>
      <c r="AT20" s="181">
        <f>RANK(iScoresRounded!AT20,iScoresRounded!$N20:$BK20)</f>
        <v>42</v>
      </c>
      <c r="AU20" s="181">
        <f>RANK(iScoresRounded!AU20,iScoresRounded!$N20:$BK20)</f>
        <v>49</v>
      </c>
      <c r="AV20" s="181">
        <f>RANK(iScoresRounded!AV20,iScoresRounded!$N20:$BK20)</f>
        <v>10</v>
      </c>
      <c r="AW20" s="181">
        <f>RANK(iScoresRounded!AW20,iScoresRounded!$N20:$BK20)</f>
        <v>10</v>
      </c>
      <c r="AX20" s="181">
        <f>RANK(iScoresRounded!AX20,iScoresRounded!$N20:$BK20)</f>
        <v>42</v>
      </c>
      <c r="AY20" s="181">
        <f>RANK(iScoresRounded!AY20,iScoresRounded!$N20:$BK20)</f>
        <v>10</v>
      </c>
      <c r="AZ20" s="181">
        <f>RANK(iScoresRounded!AZ20,iScoresRounded!$N20:$BK20)</f>
        <v>10</v>
      </c>
      <c r="BA20" s="181">
        <f>RANK(iScoresRounded!BA20,iScoresRounded!$N20:$BK20)</f>
        <v>42</v>
      </c>
      <c r="BB20" s="181">
        <f>RANK(iScoresRounded!BB20,iScoresRounded!$N20:$BK20)</f>
        <v>42</v>
      </c>
      <c r="BC20" s="181">
        <f>RANK(iScoresRounded!BC20,iScoresRounded!$N20:$BK20)</f>
        <v>10</v>
      </c>
      <c r="BD20" s="181">
        <f>RANK(iScoresRounded!BD20,iScoresRounded!$N20:$BK20)</f>
        <v>10</v>
      </c>
      <c r="BE20" s="181">
        <f>RANK(iScoresRounded!BE20,iScoresRounded!$N20:$BK20)</f>
        <v>4</v>
      </c>
      <c r="BF20" s="181">
        <f>RANK(iScoresRounded!BF20,iScoresRounded!$N20:$BK20)</f>
        <v>49</v>
      </c>
      <c r="BG20" s="181">
        <f>RANK(iScoresRounded!BG20,iScoresRounded!$N20:$BK20)</f>
        <v>42</v>
      </c>
      <c r="BH20" s="181">
        <f>RANK(iScoresRounded!BH20,iScoresRounded!$N20:$BK20)</f>
        <v>42</v>
      </c>
      <c r="BI20" s="181">
        <f>RANK(iScoresRounded!BI20,iScoresRounded!$N20:$BK20)</f>
        <v>10</v>
      </c>
      <c r="BJ20" s="181">
        <f>RANK(iScoresRounded!BJ20,iScoresRounded!$N20:$BK20)</f>
        <v>42</v>
      </c>
      <c r="BK20" s="181">
        <f>RANK(iScoresRounded!BK20,iScoresRounded!$N20:$BK20)</f>
        <v>10</v>
      </c>
    </row>
    <row r="21" s="22" customFormat="1" spans="1:63">
      <c r="A21" s="24"/>
      <c r="B21" s="24"/>
      <c r="C21" s="24"/>
      <c r="D21" s="52"/>
      <c r="E21" s="52"/>
      <c r="F21" s="52"/>
      <c r="G21" s="52"/>
      <c r="H21" s="52"/>
      <c r="I21" s="52"/>
      <c r="J21" s="52"/>
      <c r="K21" s="54"/>
      <c r="L21" s="62" t="str">
        <f>tblIndicators!Z14</f>
        <v>1.2.3) Percent with internet access</v>
      </c>
      <c r="M21" s="63"/>
      <c r="N21" s="181">
        <f>RANK(iScoresRounded!N21,iScoresRounded!$N21:$BK21)</f>
        <v>1</v>
      </c>
      <c r="O21" s="181">
        <f>RANK(iScoresRounded!O21,iScoresRounded!$N21:$BK21)</f>
        <v>39</v>
      </c>
      <c r="P21" s="181">
        <f>RANK(iScoresRounded!P21,iScoresRounded!$N21:$BK21)</f>
        <v>32</v>
      </c>
      <c r="Q21" s="181">
        <f>RANK(iScoresRounded!Q21,iScoresRounded!$N21:$BK21)</f>
        <v>43</v>
      </c>
      <c r="R21" s="181">
        <f>RANK(iScoresRounded!R21,iScoresRounded!$N21:$BK21)</f>
        <v>44</v>
      </c>
      <c r="S21" s="181">
        <f>RANK(iScoresRounded!S21,iScoresRounded!$N21:$BK21)</f>
        <v>8</v>
      </c>
      <c r="T21" s="181">
        <f>RANK(iScoresRounded!T21,iScoresRounded!$N21:$BK21)</f>
        <v>18</v>
      </c>
      <c r="U21" s="181">
        <f>RANK(iScoresRounded!U21,iScoresRounded!$N21:$BK21)</f>
        <v>16</v>
      </c>
      <c r="V21" s="181">
        <f>RANK(iScoresRounded!V21,iScoresRounded!$N21:$BK21)</f>
        <v>16</v>
      </c>
      <c r="W21" s="181">
        <f>RANK(iScoresRounded!W21,iScoresRounded!$N21:$BK21)</f>
        <v>24</v>
      </c>
      <c r="X21" s="181">
        <f>RANK(iScoresRounded!X21,iScoresRounded!$N21:$BK21)</f>
        <v>40</v>
      </c>
      <c r="Y21" s="181">
        <f>RANK(iScoresRounded!Y21,iScoresRounded!$N21:$BK21)</f>
        <v>50</v>
      </c>
      <c r="Z21" s="181">
        <f>RANK(iScoresRounded!Z21,iScoresRounded!$N21:$BK21)</f>
        <v>33</v>
      </c>
      <c r="AA21" s="181">
        <f>RANK(iScoresRounded!AA21,iScoresRounded!$N21:$BK21)</f>
        <v>12</v>
      </c>
      <c r="AB21" s="181">
        <f>RANK(iScoresRounded!AB21,iScoresRounded!$N21:$BK21)</f>
        <v>8</v>
      </c>
      <c r="AC21" s="181">
        <f>RANK(iScoresRounded!AC21,iScoresRounded!$N21:$BK21)</f>
        <v>22</v>
      </c>
      <c r="AD21" s="181">
        <f>RANK(iScoresRounded!AD21,iScoresRounded!$N21:$BK21)</f>
        <v>23</v>
      </c>
      <c r="AE21" s="181">
        <f>RANK(iScoresRounded!AE21,iScoresRounded!$N21:$BK21)</f>
        <v>19</v>
      </c>
      <c r="AF21" s="181">
        <f>RANK(iScoresRounded!AF21,iScoresRounded!$N21:$BK21)</f>
        <v>29</v>
      </c>
      <c r="AG21" s="181">
        <f>RANK(iScoresRounded!AG21,iScoresRounded!$N21:$BK21)</f>
        <v>31</v>
      </c>
      <c r="AH21" s="181">
        <f>RANK(iScoresRounded!AH21,iScoresRounded!$N21:$BK21)</f>
        <v>21</v>
      </c>
      <c r="AI21" s="181">
        <f>RANK(iScoresRounded!AI21,iScoresRounded!$N21:$BK21)</f>
        <v>34</v>
      </c>
      <c r="AJ21" s="181">
        <f>RANK(iScoresRounded!AJ21,iScoresRounded!$N21:$BK21)</f>
        <v>36</v>
      </c>
      <c r="AK21" s="181">
        <f>RANK(iScoresRounded!AK21,iScoresRounded!$N21:$BK21)</f>
        <v>44</v>
      </c>
      <c r="AL21" s="181">
        <f>RANK(iScoresRounded!AL21,iScoresRounded!$N21:$BK21)</f>
        <v>42</v>
      </c>
      <c r="AM21" s="181">
        <f>RANK(iScoresRounded!AM21,iScoresRounded!$N21:$BK21)</f>
        <v>47</v>
      </c>
      <c r="AN21" s="181">
        <f>RANK(iScoresRounded!AN21,iScoresRounded!$N21:$BK21)</f>
        <v>48</v>
      </c>
      <c r="AO21" s="181">
        <f>RANK(iScoresRounded!AO21,iScoresRounded!$N21:$BK21)</f>
        <v>6</v>
      </c>
      <c r="AP21" s="181">
        <f>RANK(iScoresRounded!AP21,iScoresRounded!$N21:$BK21)</f>
        <v>7</v>
      </c>
      <c r="AQ21" s="181">
        <f>RANK(iScoresRounded!AQ21,iScoresRounded!$N21:$BK21)</f>
        <v>28</v>
      </c>
      <c r="AR21" s="181">
        <f>RANK(iScoresRounded!AR21,iScoresRounded!$N21:$BK21)</f>
        <v>11</v>
      </c>
      <c r="AS21" s="181">
        <f>RANK(iScoresRounded!AS21,iScoresRounded!$N21:$BK21)</f>
        <v>30</v>
      </c>
      <c r="AT21" s="181">
        <f>RANK(iScoresRounded!AT21,iScoresRounded!$N21:$BK21)</f>
        <v>49</v>
      </c>
      <c r="AU21" s="181">
        <f>RANK(iScoresRounded!AU21,iScoresRounded!$N21:$BK21)</f>
        <v>41</v>
      </c>
      <c r="AV21" s="181">
        <f>RANK(iScoresRounded!AV21,iScoresRounded!$N21:$BK21)</f>
        <v>26</v>
      </c>
      <c r="AW21" s="181">
        <f>RANK(iScoresRounded!AW21,iScoresRounded!$N21:$BK21)</f>
        <v>14</v>
      </c>
      <c r="AX21" s="181">
        <f>RANK(iScoresRounded!AX21,iScoresRounded!$N21:$BK21)</f>
        <v>38</v>
      </c>
      <c r="AY21" s="181">
        <f>RANK(iScoresRounded!AY21,iScoresRounded!$N21:$BK21)</f>
        <v>4</v>
      </c>
      <c r="AZ21" s="181">
        <f>RANK(iScoresRounded!AZ21,iScoresRounded!$N21:$BK21)</f>
        <v>13</v>
      </c>
      <c r="BA21" s="181">
        <f>RANK(iScoresRounded!BA21,iScoresRounded!$N21:$BK21)</f>
        <v>14</v>
      </c>
      <c r="BB21" s="181">
        <f>RANK(iScoresRounded!BB21,iScoresRounded!$N21:$BK21)</f>
        <v>10</v>
      </c>
      <c r="BC21" s="181">
        <f>RANK(iScoresRounded!BC21,iScoresRounded!$N21:$BK21)</f>
        <v>37</v>
      </c>
      <c r="BD21" s="181">
        <f>RANK(iScoresRounded!BD21,iScoresRounded!$N21:$BK21)</f>
        <v>35</v>
      </c>
      <c r="BE21" s="181">
        <f>RANK(iScoresRounded!BE21,iScoresRounded!$N21:$BK21)</f>
        <v>2</v>
      </c>
      <c r="BF21" s="181">
        <f>RANK(iScoresRounded!BF21,iScoresRounded!$N21:$BK21)</f>
        <v>26</v>
      </c>
      <c r="BG21" s="181">
        <f>RANK(iScoresRounded!BG21,iScoresRounded!$N21:$BK21)</f>
        <v>20</v>
      </c>
      <c r="BH21" s="181">
        <f>RANK(iScoresRounded!BH21,iScoresRounded!$N21:$BK21)</f>
        <v>25</v>
      </c>
      <c r="BI21" s="181">
        <f>RANK(iScoresRounded!BI21,iScoresRounded!$N21:$BK21)</f>
        <v>4</v>
      </c>
      <c r="BJ21" s="181">
        <f>RANK(iScoresRounded!BJ21,iScoresRounded!$N21:$BK21)</f>
        <v>46</v>
      </c>
      <c r="BK21" s="181">
        <f>RANK(iScoresRounded!BK21,iScoresRounded!$N21:$BK21)</f>
        <v>3</v>
      </c>
    </row>
    <row r="22" s="22" customFormat="1" spans="1:63">
      <c r="A22" s="24"/>
      <c r="B22" s="24"/>
      <c r="C22" s="24"/>
      <c r="D22" s="52"/>
      <c r="E22" s="52"/>
      <c r="F22" s="52"/>
      <c r="G22" s="52"/>
      <c r="H22" s="52"/>
      <c r="I22" s="52"/>
      <c r="J22" s="52"/>
      <c r="K22" s="54"/>
      <c r="L22" s="62" t="str">
        <f>tblIndicators!Z15</f>
        <v>2) HEALTH SECURITY</v>
      </c>
      <c r="M22" s="63"/>
      <c r="N22" s="181">
        <f>RANK(iScoresRounded!N22,iScoresRounded!$N22:$BK22)</f>
        <v>10</v>
      </c>
      <c r="O22" s="181">
        <f>RANK(iScoresRounded!O22,iScoresRounded!$N22:$BK22)</f>
        <v>47</v>
      </c>
      <c r="P22" s="181">
        <f>RANK(iScoresRounded!P22,iScoresRounded!$N22:$BK22)</f>
        <v>29</v>
      </c>
      <c r="Q22" s="181">
        <f>RANK(iScoresRounded!Q22,iScoresRounded!$N22:$BK22)</f>
        <v>36</v>
      </c>
      <c r="R22" s="181">
        <f>RANK(iScoresRounded!R22,iScoresRounded!$N22:$BK22)</f>
        <v>38</v>
      </c>
      <c r="S22" s="181">
        <f>RANK(iScoresRounded!S22,iScoresRounded!$N22:$BK22)</f>
        <v>26</v>
      </c>
      <c r="T22" s="181">
        <f>RANK(iScoresRounded!T22,iScoresRounded!$N22:$BK22)</f>
        <v>16</v>
      </c>
      <c r="U22" s="181">
        <f>RANK(iScoresRounded!U22,iScoresRounded!$N22:$BK22)</f>
        <v>21</v>
      </c>
      <c r="V22" s="181">
        <f>RANK(iScoresRounded!V22,iScoresRounded!$N22:$BK22)</f>
        <v>20</v>
      </c>
      <c r="W22" s="181">
        <f>RANK(iScoresRounded!W22,iScoresRounded!$N22:$BK22)</f>
        <v>23</v>
      </c>
      <c r="X22" s="181">
        <f>RANK(iScoresRounded!X22,iScoresRounded!$N22:$BK22)</f>
        <v>33</v>
      </c>
      <c r="Y22" s="181">
        <f>RANK(iScoresRounded!Y22,iScoresRounded!$N22:$BK22)</f>
        <v>40</v>
      </c>
      <c r="Z22" s="181">
        <f>RANK(iScoresRounded!Z22,iScoresRounded!$N22:$BK22)</f>
        <v>28</v>
      </c>
      <c r="AA22" s="181">
        <f>RANK(iScoresRounded!AA22,iScoresRounded!$N22:$BK22)</f>
        <v>2</v>
      </c>
      <c r="AB22" s="181">
        <f>RANK(iScoresRounded!AB22,iScoresRounded!$N22:$BK22)</f>
        <v>19</v>
      </c>
      <c r="AC22" s="181">
        <f>RANK(iScoresRounded!AC22,iScoresRounded!$N22:$BK22)</f>
        <v>17</v>
      </c>
      <c r="AD22" s="181">
        <f>RANK(iScoresRounded!AD22,iScoresRounded!$N22:$BK22)</f>
        <v>14</v>
      </c>
      <c r="AE22" s="181">
        <f>RANK(iScoresRounded!AE22,iScoresRounded!$N22:$BK22)</f>
        <v>15</v>
      </c>
      <c r="AF22" s="181">
        <f>RANK(iScoresRounded!AF22,iScoresRounded!$N22:$BK22)</f>
        <v>30</v>
      </c>
      <c r="AG22" s="181">
        <f>RANK(iScoresRounded!AG22,iScoresRounded!$N22:$BK22)</f>
        <v>31</v>
      </c>
      <c r="AH22" s="181">
        <f>RANK(iScoresRounded!AH22,iScoresRounded!$N22:$BK22)</f>
        <v>32</v>
      </c>
      <c r="AI22" s="181">
        <f>RANK(iScoresRounded!AI22,iScoresRounded!$N22:$BK22)</f>
        <v>37</v>
      </c>
      <c r="AJ22" s="181">
        <f>RANK(iScoresRounded!AJ22,iScoresRounded!$N22:$BK22)</f>
        <v>34</v>
      </c>
      <c r="AK22" s="181">
        <f>RANK(iScoresRounded!AK22,iScoresRounded!$N22:$BK22)</f>
        <v>50</v>
      </c>
      <c r="AL22" s="181">
        <f>RANK(iScoresRounded!AL22,iScoresRounded!$N22:$BK22)</f>
        <v>42</v>
      </c>
      <c r="AM22" s="181">
        <f>RANK(iScoresRounded!AM22,iScoresRounded!$N22:$BK22)</f>
        <v>44</v>
      </c>
      <c r="AN22" s="181">
        <f>RANK(iScoresRounded!AN22,iScoresRounded!$N22:$BK22)</f>
        <v>49</v>
      </c>
      <c r="AO22" s="181">
        <f>RANK(iScoresRounded!AO22,iScoresRounded!$N22:$BK22)</f>
        <v>8</v>
      </c>
      <c r="AP22" s="181">
        <f>RANK(iScoresRounded!AP22,iScoresRounded!$N22:$BK22)</f>
        <v>6</v>
      </c>
      <c r="AQ22" s="181">
        <f>RANK(iScoresRounded!AQ22,iScoresRounded!$N22:$BK22)</f>
        <v>12</v>
      </c>
      <c r="AR22" s="181">
        <f>RANK(iScoresRounded!AR22,iScoresRounded!$N22:$BK22)</f>
        <v>18</v>
      </c>
      <c r="AS22" s="181">
        <f>RANK(iScoresRounded!AS22,iScoresRounded!$N22:$BK22)</f>
        <v>9</v>
      </c>
      <c r="AT22" s="181">
        <f>RANK(iScoresRounded!AT22,iScoresRounded!$N22:$BK22)</f>
        <v>35</v>
      </c>
      <c r="AU22" s="181">
        <f>RANK(iScoresRounded!AU22,iScoresRounded!$N22:$BK22)</f>
        <v>48</v>
      </c>
      <c r="AV22" s="181">
        <f>RANK(iScoresRounded!AV22,iScoresRounded!$N22:$BK22)</f>
        <v>39</v>
      </c>
      <c r="AW22" s="181">
        <f>RANK(iScoresRounded!AW22,iScoresRounded!$N22:$BK22)</f>
        <v>41</v>
      </c>
      <c r="AX22" s="181">
        <f>RANK(iScoresRounded!AX22,iScoresRounded!$N22:$BK22)</f>
        <v>43</v>
      </c>
      <c r="AY22" s="181">
        <f>RANK(iScoresRounded!AY22,iScoresRounded!$N22:$BK22)</f>
        <v>45</v>
      </c>
      <c r="AZ22" s="181">
        <f>RANK(iScoresRounded!AZ22,iScoresRounded!$N22:$BK22)</f>
        <v>3</v>
      </c>
      <c r="BA22" s="181">
        <f>RANK(iScoresRounded!BA22,iScoresRounded!$N22:$BK22)</f>
        <v>5</v>
      </c>
      <c r="BB22" s="181">
        <f>RANK(iScoresRounded!BB22,iScoresRounded!$N22:$BK22)</f>
        <v>4</v>
      </c>
      <c r="BC22" s="181">
        <f>RANK(iScoresRounded!BC22,iScoresRounded!$N22:$BK22)</f>
        <v>25</v>
      </c>
      <c r="BD22" s="181">
        <f>RANK(iScoresRounded!BD22,iScoresRounded!$N22:$BK22)</f>
        <v>27</v>
      </c>
      <c r="BE22" s="181">
        <f>RANK(iScoresRounded!BE22,iScoresRounded!$N22:$BK22)</f>
        <v>13</v>
      </c>
      <c r="BF22" s="181">
        <f>RANK(iScoresRounded!BF22,iScoresRounded!$N22:$BK22)</f>
        <v>24</v>
      </c>
      <c r="BG22" s="181">
        <f>RANK(iScoresRounded!BG22,iScoresRounded!$N22:$BK22)</f>
        <v>11</v>
      </c>
      <c r="BH22" s="181">
        <f>RANK(iScoresRounded!BH22,iScoresRounded!$N22:$BK22)</f>
        <v>7</v>
      </c>
      <c r="BI22" s="181">
        <f>RANK(iScoresRounded!BI22,iScoresRounded!$N22:$BK22)</f>
        <v>1</v>
      </c>
      <c r="BJ22" s="181">
        <f>RANK(iScoresRounded!BJ22,iScoresRounded!$N22:$BK22)</f>
        <v>46</v>
      </c>
      <c r="BK22" s="181">
        <f>RANK(iScoresRounded!BK22,iScoresRounded!$N22:$BK22)</f>
        <v>22</v>
      </c>
    </row>
    <row r="23" s="22" customFormat="1" spans="1:63">
      <c r="A23" s="24"/>
      <c r="B23" s="24"/>
      <c r="C23" s="24"/>
      <c r="D23" s="52"/>
      <c r="E23" s="52"/>
      <c r="F23" s="52"/>
      <c r="G23" s="52"/>
      <c r="H23" s="52"/>
      <c r="I23" s="52"/>
      <c r="J23" s="52"/>
      <c r="K23" s="54"/>
      <c r="L23" s="62" t="str">
        <f>tblIndicators!Z16</f>
        <v>2.1) Health Security (Inputs)</v>
      </c>
      <c r="M23" s="63"/>
      <c r="N23" s="181">
        <f>RANK(iScoresRounded!N23,iScoresRounded!$N23:$BK23)</f>
        <v>9</v>
      </c>
      <c r="O23" s="181">
        <f>RANK(iScoresRounded!O23,iScoresRounded!$N23:$BK23)</f>
        <v>44</v>
      </c>
      <c r="P23" s="181">
        <f>RANK(iScoresRounded!P23,iScoresRounded!$N23:$BK23)</f>
        <v>24</v>
      </c>
      <c r="Q23" s="181">
        <f>RANK(iScoresRounded!Q23,iScoresRounded!$N23:$BK23)</f>
        <v>38</v>
      </c>
      <c r="R23" s="181">
        <f>RANK(iScoresRounded!R23,iScoresRounded!$N23:$BK23)</f>
        <v>28</v>
      </c>
      <c r="S23" s="181">
        <f>RANK(iScoresRounded!S23,iScoresRounded!$N23:$BK23)</f>
        <v>21</v>
      </c>
      <c r="T23" s="181">
        <f>RANK(iScoresRounded!T23,iScoresRounded!$N23:$BK23)</f>
        <v>19</v>
      </c>
      <c r="U23" s="181">
        <f>RANK(iScoresRounded!U23,iScoresRounded!$N23:$BK23)</f>
        <v>25</v>
      </c>
      <c r="V23" s="181">
        <f>RANK(iScoresRounded!V23,iScoresRounded!$N23:$BK23)</f>
        <v>8</v>
      </c>
      <c r="W23" s="181">
        <f>RANK(iScoresRounded!W23,iScoresRounded!$N23:$BK23)</f>
        <v>23</v>
      </c>
      <c r="X23" s="181">
        <f>RANK(iScoresRounded!X23,iScoresRounded!$N23:$BK23)</f>
        <v>37</v>
      </c>
      <c r="Y23" s="181">
        <f>RANK(iScoresRounded!Y23,iScoresRounded!$N23:$BK23)</f>
        <v>45</v>
      </c>
      <c r="Z23" s="181">
        <f>RANK(iScoresRounded!Z23,iScoresRounded!$N23:$BK23)</f>
        <v>41</v>
      </c>
      <c r="AA23" s="181">
        <f>RANK(iScoresRounded!AA23,iScoresRounded!$N23:$BK23)</f>
        <v>12</v>
      </c>
      <c r="AB23" s="181">
        <f>RANK(iScoresRounded!AB23,iScoresRounded!$N23:$BK23)</f>
        <v>5</v>
      </c>
      <c r="AC23" s="181">
        <f>RANK(iScoresRounded!AC23,iScoresRounded!$N23:$BK23)</f>
        <v>22</v>
      </c>
      <c r="AD23" s="181">
        <f>RANK(iScoresRounded!AD23,iScoresRounded!$N23:$BK23)</f>
        <v>15</v>
      </c>
      <c r="AE23" s="181">
        <f>RANK(iScoresRounded!AE23,iScoresRounded!$N23:$BK23)</f>
        <v>17</v>
      </c>
      <c r="AF23" s="181">
        <f>RANK(iScoresRounded!AF23,iScoresRounded!$N23:$BK23)</f>
        <v>31</v>
      </c>
      <c r="AG23" s="181">
        <f>RANK(iScoresRounded!AG23,iScoresRounded!$N23:$BK23)</f>
        <v>34</v>
      </c>
      <c r="AH23" s="181">
        <f>RANK(iScoresRounded!AH23,iScoresRounded!$N23:$BK23)</f>
        <v>29</v>
      </c>
      <c r="AI23" s="181">
        <f>RANK(iScoresRounded!AI23,iScoresRounded!$N23:$BK23)</f>
        <v>30</v>
      </c>
      <c r="AJ23" s="181">
        <f>RANK(iScoresRounded!AJ23,iScoresRounded!$N23:$BK23)</f>
        <v>36</v>
      </c>
      <c r="AK23" s="181">
        <f>RANK(iScoresRounded!AK23,iScoresRounded!$N23:$BK23)</f>
        <v>48</v>
      </c>
      <c r="AL23" s="181">
        <f>RANK(iScoresRounded!AL23,iScoresRounded!$N23:$BK23)</f>
        <v>40</v>
      </c>
      <c r="AM23" s="181">
        <f>RANK(iScoresRounded!AM23,iScoresRounded!$N23:$BK23)</f>
        <v>46</v>
      </c>
      <c r="AN23" s="181">
        <f>RANK(iScoresRounded!AN23,iScoresRounded!$N23:$BK23)</f>
        <v>43</v>
      </c>
      <c r="AO23" s="181">
        <f>RANK(iScoresRounded!AO23,iScoresRounded!$N23:$BK23)</f>
        <v>4</v>
      </c>
      <c r="AP23" s="181">
        <f>RANK(iScoresRounded!AP23,iScoresRounded!$N23:$BK23)</f>
        <v>2</v>
      </c>
      <c r="AQ23" s="181">
        <f>RANK(iScoresRounded!AQ23,iScoresRounded!$N23:$BK23)</f>
        <v>14</v>
      </c>
      <c r="AR23" s="181">
        <f>RANK(iScoresRounded!AR23,iScoresRounded!$N23:$BK23)</f>
        <v>18</v>
      </c>
      <c r="AS23" s="181">
        <f>RANK(iScoresRounded!AS23,iScoresRounded!$N23:$BK23)</f>
        <v>1</v>
      </c>
      <c r="AT23" s="181">
        <f>RANK(iScoresRounded!AT23,iScoresRounded!$N23:$BK23)</f>
        <v>33</v>
      </c>
      <c r="AU23" s="181">
        <f>RANK(iScoresRounded!AU23,iScoresRounded!$N23:$BK23)</f>
        <v>49</v>
      </c>
      <c r="AV23" s="181">
        <f>RANK(iScoresRounded!AV23,iScoresRounded!$N23:$BK23)</f>
        <v>42</v>
      </c>
      <c r="AW23" s="181">
        <f>RANK(iScoresRounded!AW23,iScoresRounded!$N23:$BK23)</f>
        <v>39</v>
      </c>
      <c r="AX23" s="181">
        <f>RANK(iScoresRounded!AX23,iScoresRounded!$N23:$BK23)</f>
        <v>47</v>
      </c>
      <c r="AY23" s="181">
        <f>RANK(iScoresRounded!AY23,iScoresRounded!$N23:$BK23)</f>
        <v>35</v>
      </c>
      <c r="AZ23" s="181">
        <f>RANK(iScoresRounded!AZ23,iScoresRounded!$N23:$BK23)</f>
        <v>3</v>
      </c>
      <c r="BA23" s="181">
        <f>RANK(iScoresRounded!BA23,iScoresRounded!$N23:$BK23)</f>
        <v>6</v>
      </c>
      <c r="BB23" s="181">
        <f>RANK(iScoresRounded!BB23,iScoresRounded!$N23:$BK23)</f>
        <v>11</v>
      </c>
      <c r="BC23" s="181">
        <f>RANK(iScoresRounded!BC23,iScoresRounded!$N23:$BK23)</f>
        <v>27</v>
      </c>
      <c r="BD23" s="181">
        <f>RANK(iScoresRounded!BD23,iScoresRounded!$N23:$BK23)</f>
        <v>32</v>
      </c>
      <c r="BE23" s="181">
        <f>RANK(iScoresRounded!BE23,iScoresRounded!$N23:$BK23)</f>
        <v>10</v>
      </c>
      <c r="BF23" s="181">
        <f>RANK(iScoresRounded!BF23,iScoresRounded!$N23:$BK23)</f>
        <v>16</v>
      </c>
      <c r="BG23" s="181">
        <f>RANK(iScoresRounded!BG23,iScoresRounded!$N23:$BK23)</f>
        <v>20</v>
      </c>
      <c r="BH23" s="181">
        <f>RANK(iScoresRounded!BH23,iScoresRounded!$N23:$BK23)</f>
        <v>13</v>
      </c>
      <c r="BI23" s="181">
        <f>RANK(iScoresRounded!BI23,iScoresRounded!$N23:$BK23)</f>
        <v>7</v>
      </c>
      <c r="BJ23" s="181">
        <f>RANK(iScoresRounded!BJ23,iScoresRounded!$N23:$BK23)</f>
        <v>50</v>
      </c>
      <c r="BK23" s="181">
        <f>RANK(iScoresRounded!BK23,iScoresRounded!$N23:$BK23)</f>
        <v>26</v>
      </c>
    </row>
    <row r="24" s="22" customFormat="1" spans="1:63">
      <c r="A24" s="24"/>
      <c r="B24" s="24"/>
      <c r="C24" s="24"/>
      <c r="D24" s="52"/>
      <c r="E24" s="52"/>
      <c r="F24" s="52"/>
      <c r="G24" s="52"/>
      <c r="H24" s="52"/>
      <c r="I24" s="52"/>
      <c r="J24" s="52"/>
      <c r="K24" s="54"/>
      <c r="L24" s="62" t="str">
        <f>tblIndicators!Z17</f>
        <v>2.1.1) Environmental policies</v>
      </c>
      <c r="M24" s="63"/>
      <c r="N24" s="181">
        <f>RANK(iScoresRounded!N24,iScoresRounded!$N24:$BK24)</f>
        <v>1</v>
      </c>
      <c r="O24" s="181">
        <f>RANK(iScoresRounded!O24,iScoresRounded!$N24:$BK24)</f>
        <v>36</v>
      </c>
      <c r="P24" s="181">
        <f>RANK(iScoresRounded!P24,iScoresRounded!$N24:$BK24)</f>
        <v>33</v>
      </c>
      <c r="Q24" s="181">
        <f>RANK(iScoresRounded!Q24,iScoresRounded!$N24:$BK24)</f>
        <v>39</v>
      </c>
      <c r="R24" s="181">
        <f>RANK(iScoresRounded!R24,iScoresRounded!$N24:$BK24)</f>
        <v>14</v>
      </c>
      <c r="S24" s="181">
        <f>RANK(iScoresRounded!S24,iScoresRounded!$N24:$BK24)</f>
        <v>10</v>
      </c>
      <c r="T24" s="181">
        <f>RANK(iScoresRounded!T24,iScoresRounded!$N24:$BK24)</f>
        <v>13</v>
      </c>
      <c r="U24" s="181">
        <f>RANK(iScoresRounded!U24,iScoresRounded!$N24:$BK24)</f>
        <v>43</v>
      </c>
      <c r="V24" s="181">
        <f>RANK(iScoresRounded!V24,iScoresRounded!$N24:$BK24)</f>
        <v>34</v>
      </c>
      <c r="W24" s="181">
        <f>RANK(iScoresRounded!W24,iScoresRounded!$N24:$BK24)</f>
        <v>22</v>
      </c>
      <c r="X24" s="181">
        <f>RANK(iScoresRounded!X24,iScoresRounded!$N24:$BK24)</f>
        <v>12</v>
      </c>
      <c r="Y24" s="181">
        <f>RANK(iScoresRounded!Y24,iScoresRounded!$N24:$BK24)</f>
        <v>42</v>
      </c>
      <c r="Z24" s="181">
        <f>RANK(iScoresRounded!Z24,iScoresRounded!$N24:$BK24)</f>
        <v>36</v>
      </c>
      <c r="AA24" s="181">
        <f>RANK(iScoresRounded!AA24,iScoresRounded!$N24:$BK24)</f>
        <v>1</v>
      </c>
      <c r="AB24" s="181">
        <f>RANK(iScoresRounded!AB24,iScoresRounded!$N24:$BK24)</f>
        <v>1</v>
      </c>
      <c r="AC24" s="181">
        <f>RANK(iScoresRounded!AC24,iScoresRounded!$N24:$BK24)</f>
        <v>38</v>
      </c>
      <c r="AD24" s="181">
        <f>RANK(iScoresRounded!AD24,iScoresRounded!$N24:$BK24)</f>
        <v>30</v>
      </c>
      <c r="AE24" s="181">
        <f>RANK(iScoresRounded!AE24,iScoresRounded!$N24:$BK24)</f>
        <v>5</v>
      </c>
      <c r="AF24" s="181">
        <f>RANK(iScoresRounded!AF24,iScoresRounded!$N24:$BK24)</f>
        <v>28</v>
      </c>
      <c r="AG24" s="181">
        <f>RANK(iScoresRounded!AG24,iScoresRounded!$N24:$BK24)</f>
        <v>25</v>
      </c>
      <c r="AH24" s="181">
        <f>RANK(iScoresRounded!AH24,iScoresRounded!$N24:$BK24)</f>
        <v>5</v>
      </c>
      <c r="AI24" s="181">
        <f>RANK(iScoresRounded!AI24,iScoresRounded!$N24:$BK24)</f>
        <v>24</v>
      </c>
      <c r="AJ24" s="181">
        <f>RANK(iScoresRounded!AJ24,iScoresRounded!$N24:$BK24)</f>
        <v>28</v>
      </c>
      <c r="AK24" s="181">
        <f>RANK(iScoresRounded!AK24,iScoresRounded!$N24:$BK24)</f>
        <v>41</v>
      </c>
      <c r="AL24" s="181">
        <f>RANK(iScoresRounded!AL24,iScoresRounded!$N24:$BK24)</f>
        <v>21</v>
      </c>
      <c r="AM24" s="181">
        <f>RANK(iScoresRounded!AM24,iScoresRounded!$N24:$BK24)</f>
        <v>19</v>
      </c>
      <c r="AN24" s="181">
        <f>RANK(iScoresRounded!AN24,iScoresRounded!$N24:$BK24)</f>
        <v>35</v>
      </c>
      <c r="AO24" s="181">
        <f>RANK(iScoresRounded!AO24,iScoresRounded!$N24:$BK24)</f>
        <v>8</v>
      </c>
      <c r="AP24" s="181">
        <f>RANK(iScoresRounded!AP24,iScoresRounded!$N24:$BK24)</f>
        <v>8</v>
      </c>
      <c r="AQ24" s="181">
        <f>RANK(iScoresRounded!AQ24,iScoresRounded!$N24:$BK24)</f>
        <v>7</v>
      </c>
      <c r="AR24" s="181">
        <f>RANK(iScoresRounded!AR24,iScoresRounded!$N24:$BK24)</f>
        <v>14</v>
      </c>
      <c r="AS24" s="181">
        <f>RANK(iScoresRounded!AS24,iScoresRounded!$N24:$BK24)</f>
        <v>14</v>
      </c>
      <c r="AT24" s="181">
        <f>RANK(iScoresRounded!AT24,iScoresRounded!$N24:$BK24)</f>
        <v>14</v>
      </c>
      <c r="AU24" s="181">
        <f>RANK(iScoresRounded!AU24,iScoresRounded!$N24:$BK24)</f>
        <v>46</v>
      </c>
      <c r="AV24" s="181">
        <f>RANK(iScoresRounded!AV24,iScoresRounded!$N24:$BK24)</f>
        <v>49</v>
      </c>
      <c r="AW24" s="181">
        <f>RANK(iScoresRounded!AW24,iScoresRounded!$N24:$BK24)</f>
        <v>47</v>
      </c>
      <c r="AX24" s="181">
        <f>RANK(iScoresRounded!AX24,iScoresRounded!$N24:$BK24)</f>
        <v>49</v>
      </c>
      <c r="AY24" s="181">
        <f>RANK(iScoresRounded!AY24,iScoresRounded!$N24:$BK24)</f>
        <v>40</v>
      </c>
      <c r="AZ24" s="181">
        <f>RANK(iScoresRounded!AZ24,iScoresRounded!$N24:$BK24)</f>
        <v>1</v>
      </c>
      <c r="BA24" s="181">
        <f>RANK(iScoresRounded!BA24,iScoresRounded!$N24:$BK24)</f>
        <v>10</v>
      </c>
      <c r="BB24" s="181">
        <f>RANK(iScoresRounded!BB24,iScoresRounded!$N24:$BK24)</f>
        <v>32</v>
      </c>
      <c r="BC24" s="181">
        <f>RANK(iScoresRounded!BC24,iScoresRounded!$N24:$BK24)</f>
        <v>44</v>
      </c>
      <c r="BD24" s="181">
        <f>RANK(iScoresRounded!BD24,iScoresRounded!$N24:$BK24)</f>
        <v>44</v>
      </c>
      <c r="BE24" s="181">
        <f>RANK(iScoresRounded!BE24,iScoresRounded!$N24:$BK24)</f>
        <v>18</v>
      </c>
      <c r="BF24" s="181">
        <f>RANK(iScoresRounded!BF24,iScoresRounded!$N24:$BK24)</f>
        <v>20</v>
      </c>
      <c r="BG24" s="181">
        <f>RANK(iScoresRounded!BG24,iScoresRounded!$N24:$BK24)</f>
        <v>26</v>
      </c>
      <c r="BH24" s="181">
        <f>RANK(iScoresRounded!BH24,iScoresRounded!$N24:$BK24)</f>
        <v>26</v>
      </c>
      <c r="BI24" s="181">
        <f>RANK(iScoresRounded!BI24,iScoresRounded!$N24:$BK24)</f>
        <v>22</v>
      </c>
      <c r="BJ24" s="181">
        <f>RANK(iScoresRounded!BJ24,iScoresRounded!$N24:$BK24)</f>
        <v>48</v>
      </c>
      <c r="BK24" s="181">
        <f>RANK(iScoresRounded!BK24,iScoresRounded!$N24:$BK24)</f>
        <v>31</v>
      </c>
    </row>
    <row r="25" s="22" customFormat="1" spans="1:63">
      <c r="A25" s="24"/>
      <c r="B25" s="24"/>
      <c r="C25" s="24"/>
      <c r="D25" s="52"/>
      <c r="E25" s="52"/>
      <c r="F25" s="52"/>
      <c r="G25" s="52"/>
      <c r="H25" s="52"/>
      <c r="I25" s="52"/>
      <c r="J25" s="52"/>
      <c r="K25" s="54"/>
      <c r="L25" s="62" t="str">
        <f>tblIndicators!Z18</f>
        <v>2.1.2) Access to healthcare</v>
      </c>
      <c r="M25" s="63"/>
      <c r="N25" s="181">
        <f>RANK(iScoresRounded!N25,iScoresRounded!$N25:$BK25)</f>
        <v>50</v>
      </c>
      <c r="O25" s="181">
        <f>RANK(iScoresRounded!O25,iScoresRounded!$N25:$BK25)</f>
        <v>44</v>
      </c>
      <c r="P25" s="181">
        <f>RANK(iScoresRounded!P25,iScoresRounded!$N25:$BK25)</f>
        <v>19</v>
      </c>
      <c r="Q25" s="181">
        <f>RANK(iScoresRounded!Q25,iScoresRounded!$N25:$BK25)</f>
        <v>30</v>
      </c>
      <c r="R25" s="181">
        <f>RANK(iScoresRounded!R25,iScoresRounded!$N25:$BK25)</f>
        <v>34</v>
      </c>
      <c r="S25" s="181">
        <f>RANK(iScoresRounded!S25,iScoresRounded!$N25:$BK25)</f>
        <v>13</v>
      </c>
      <c r="T25" s="181">
        <f>RANK(iScoresRounded!T25,iScoresRounded!$N25:$BK25)</f>
        <v>13</v>
      </c>
      <c r="U25" s="181">
        <f>RANK(iScoresRounded!U25,iScoresRounded!$N25:$BK25)</f>
        <v>1</v>
      </c>
      <c r="V25" s="181">
        <f>RANK(iScoresRounded!V25,iScoresRounded!$N25:$BK25)</f>
        <v>1</v>
      </c>
      <c r="W25" s="181">
        <f>RANK(iScoresRounded!W25,iScoresRounded!$N25:$BK25)</f>
        <v>13</v>
      </c>
      <c r="X25" s="181">
        <f>RANK(iScoresRounded!X25,iScoresRounded!$N25:$BK25)</f>
        <v>34</v>
      </c>
      <c r="Y25" s="181">
        <f>RANK(iScoresRounded!Y25,iScoresRounded!$N25:$BK25)</f>
        <v>34</v>
      </c>
      <c r="Z25" s="181">
        <f>RANK(iScoresRounded!Z25,iScoresRounded!$N25:$BK25)</f>
        <v>30</v>
      </c>
      <c r="AA25" s="181">
        <f>RANK(iScoresRounded!AA25,iScoresRounded!$N25:$BK25)</f>
        <v>13</v>
      </c>
      <c r="AB25" s="181">
        <f>RANK(iScoresRounded!AB25,iScoresRounded!$N25:$BK25)</f>
        <v>13</v>
      </c>
      <c r="AC25" s="181">
        <f>RANK(iScoresRounded!AC25,iScoresRounded!$N25:$BK25)</f>
        <v>1</v>
      </c>
      <c r="AD25" s="181">
        <f>RANK(iScoresRounded!AD25,iScoresRounded!$N25:$BK25)</f>
        <v>1</v>
      </c>
      <c r="AE25" s="181">
        <f>RANK(iScoresRounded!AE25,iScoresRounded!$N25:$BK25)</f>
        <v>19</v>
      </c>
      <c r="AF25" s="181">
        <f>RANK(iScoresRounded!AF25,iScoresRounded!$N25:$BK25)</f>
        <v>34</v>
      </c>
      <c r="AG25" s="181">
        <f>RANK(iScoresRounded!AG25,iScoresRounded!$N25:$BK25)</f>
        <v>39</v>
      </c>
      <c r="AH25" s="181">
        <f>RANK(iScoresRounded!AH25,iScoresRounded!$N25:$BK25)</f>
        <v>39</v>
      </c>
      <c r="AI25" s="181">
        <f>RANK(iScoresRounded!AI25,iScoresRounded!$N25:$BK25)</f>
        <v>39</v>
      </c>
      <c r="AJ25" s="181">
        <f>RANK(iScoresRounded!AJ25,iScoresRounded!$N25:$BK25)</f>
        <v>34</v>
      </c>
      <c r="AK25" s="181">
        <f>RANK(iScoresRounded!AK25,iScoresRounded!$N25:$BK25)</f>
        <v>46</v>
      </c>
      <c r="AL25" s="181">
        <f>RANK(iScoresRounded!AL25,iScoresRounded!$N25:$BK25)</f>
        <v>44</v>
      </c>
      <c r="AM25" s="181">
        <f>RANK(iScoresRounded!AM25,iScoresRounded!$N25:$BK25)</f>
        <v>49</v>
      </c>
      <c r="AN25" s="181">
        <f>RANK(iScoresRounded!AN25,iScoresRounded!$N25:$BK25)</f>
        <v>39</v>
      </c>
      <c r="AO25" s="181">
        <f>RANK(iScoresRounded!AO25,iScoresRounded!$N25:$BK25)</f>
        <v>1</v>
      </c>
      <c r="AP25" s="181">
        <f>RANK(iScoresRounded!AP25,iScoresRounded!$N25:$BK25)</f>
        <v>1</v>
      </c>
      <c r="AQ25" s="181">
        <f>RANK(iScoresRounded!AQ25,iScoresRounded!$N25:$BK25)</f>
        <v>19</v>
      </c>
      <c r="AR25" s="181">
        <f>RANK(iScoresRounded!AR25,iScoresRounded!$N25:$BK25)</f>
        <v>24</v>
      </c>
      <c r="AS25" s="181">
        <f>RANK(iScoresRounded!AS25,iScoresRounded!$N25:$BK25)</f>
        <v>25</v>
      </c>
      <c r="AT25" s="181">
        <f>RANK(iScoresRounded!AT25,iScoresRounded!$N25:$BK25)</f>
        <v>39</v>
      </c>
      <c r="AU25" s="181">
        <f>RANK(iScoresRounded!AU25,iScoresRounded!$N25:$BK25)</f>
        <v>47</v>
      </c>
      <c r="AV25" s="181">
        <f>RANK(iScoresRounded!AV25,iScoresRounded!$N25:$BK25)</f>
        <v>28</v>
      </c>
      <c r="AW25" s="181">
        <f>RANK(iScoresRounded!AW25,iScoresRounded!$N25:$BK25)</f>
        <v>28</v>
      </c>
      <c r="AX25" s="181">
        <f>RANK(iScoresRounded!AX25,iScoresRounded!$N25:$BK25)</f>
        <v>33</v>
      </c>
      <c r="AY25" s="181">
        <f>RANK(iScoresRounded!AY25,iScoresRounded!$N25:$BK25)</f>
        <v>27</v>
      </c>
      <c r="AZ25" s="181">
        <f>RANK(iScoresRounded!AZ25,iScoresRounded!$N25:$BK25)</f>
        <v>1</v>
      </c>
      <c r="BA25" s="181">
        <f>RANK(iScoresRounded!BA25,iScoresRounded!$N25:$BK25)</f>
        <v>1</v>
      </c>
      <c r="BB25" s="181">
        <f>RANK(iScoresRounded!BB25,iScoresRounded!$N25:$BK25)</f>
        <v>1</v>
      </c>
      <c r="BC25" s="181">
        <f>RANK(iScoresRounded!BC25,iScoresRounded!$N25:$BK25)</f>
        <v>19</v>
      </c>
      <c r="BD25" s="181">
        <f>RANK(iScoresRounded!BD25,iScoresRounded!$N25:$BK25)</f>
        <v>18</v>
      </c>
      <c r="BE25" s="181">
        <f>RANK(iScoresRounded!BE25,iScoresRounded!$N25:$BK25)</f>
        <v>1</v>
      </c>
      <c r="BF25" s="181">
        <f>RANK(iScoresRounded!BF25,iScoresRounded!$N25:$BK25)</f>
        <v>26</v>
      </c>
      <c r="BG25" s="181">
        <f>RANK(iScoresRounded!BG25,iScoresRounded!$N25:$BK25)</f>
        <v>19</v>
      </c>
      <c r="BH25" s="181">
        <f>RANK(iScoresRounded!BH25,iScoresRounded!$N25:$BK25)</f>
        <v>12</v>
      </c>
      <c r="BI25" s="181">
        <f>RANK(iScoresRounded!BI25,iScoresRounded!$N25:$BK25)</f>
        <v>1</v>
      </c>
      <c r="BJ25" s="181">
        <f>RANK(iScoresRounded!BJ25,iScoresRounded!$N25:$BK25)</f>
        <v>47</v>
      </c>
      <c r="BK25" s="181">
        <f>RANK(iScoresRounded!BK25,iScoresRounded!$N25:$BK25)</f>
        <v>32</v>
      </c>
    </row>
    <row r="26" s="22" customFormat="1" spans="1:63">
      <c r="A26" s="24"/>
      <c r="B26" s="24"/>
      <c r="C26" s="24"/>
      <c r="D26" s="52"/>
      <c r="E26" s="52"/>
      <c r="F26" s="52"/>
      <c r="G26" s="52"/>
      <c r="H26" s="52"/>
      <c r="I26" s="52"/>
      <c r="J26" s="52"/>
      <c r="K26" s="54"/>
      <c r="L26" s="62" t="str">
        <f>tblIndicators!Z19</f>
        <v>2.1.3) No. of beds per 1000</v>
      </c>
      <c r="M26" s="63"/>
      <c r="N26" s="181">
        <f>RANK(iScoresRounded!N26,iScoresRounded!$N26:$BK26)</f>
        <v>1</v>
      </c>
      <c r="O26" s="181">
        <f>RANK(iScoresRounded!O26,iScoresRounded!$N26:$BK26)</f>
        <v>45</v>
      </c>
      <c r="P26" s="181">
        <f>RANK(iScoresRounded!P26,iScoresRounded!$N26:$BK26)</f>
        <v>18</v>
      </c>
      <c r="Q26" s="181">
        <f>RANK(iScoresRounded!Q26,iScoresRounded!$N26:$BK26)</f>
        <v>30</v>
      </c>
      <c r="R26" s="181">
        <f>RANK(iScoresRounded!R26,iScoresRounded!$N26:$BK26)</f>
        <v>42</v>
      </c>
      <c r="S26" s="181">
        <f>RANK(iScoresRounded!S26,iScoresRounded!$N26:$BK26)</f>
        <v>46</v>
      </c>
      <c r="T26" s="181">
        <f>RANK(iScoresRounded!T26,iScoresRounded!$N26:$BK26)</f>
        <v>27</v>
      </c>
      <c r="U26" s="181">
        <f>RANK(iScoresRounded!U26,iScoresRounded!$N26:$BK26)</f>
        <v>31</v>
      </c>
      <c r="V26" s="181">
        <f>RANK(iScoresRounded!V26,iScoresRounded!$N26:$BK26)</f>
        <v>2</v>
      </c>
      <c r="W26" s="181">
        <f>RANK(iScoresRounded!W26,iScoresRounded!$N26:$BK26)</f>
        <v>31</v>
      </c>
      <c r="X26" s="181">
        <f>RANK(iScoresRounded!X26,iScoresRounded!$N26:$BK26)</f>
        <v>48</v>
      </c>
      <c r="Y26" s="181">
        <f>RANK(iScoresRounded!Y26,iScoresRounded!$N26:$BK26)</f>
        <v>43</v>
      </c>
      <c r="Z26" s="181">
        <f>RANK(iScoresRounded!Z26,iScoresRounded!$N26:$BK26)</f>
        <v>39</v>
      </c>
      <c r="AA26" s="181">
        <f>RANK(iScoresRounded!AA26,iScoresRounded!$N26:$BK26)</f>
        <v>25</v>
      </c>
      <c r="AB26" s="181">
        <f>RANK(iScoresRounded!AB26,iScoresRounded!$N26:$BK26)</f>
        <v>10</v>
      </c>
      <c r="AC26" s="181">
        <f>RANK(iScoresRounded!AC26,iScoresRounded!$N26:$BK26)</f>
        <v>28</v>
      </c>
      <c r="AD26" s="181">
        <f>RANK(iScoresRounded!AD26,iScoresRounded!$N26:$BK26)</f>
        <v>34</v>
      </c>
      <c r="AE26" s="181">
        <f>RANK(iScoresRounded!AE26,iScoresRounded!$N26:$BK26)</f>
        <v>12</v>
      </c>
      <c r="AF26" s="181">
        <f>RANK(iScoresRounded!AF26,iScoresRounded!$N26:$BK26)</f>
        <v>13</v>
      </c>
      <c r="AG26" s="181">
        <f>RANK(iScoresRounded!AG26,iScoresRounded!$N26:$BK26)</f>
        <v>17</v>
      </c>
      <c r="AH26" s="181">
        <f>RANK(iScoresRounded!AH26,iScoresRounded!$N26:$BK26)</f>
        <v>33</v>
      </c>
      <c r="AI26" s="181">
        <f>RANK(iScoresRounded!AI26,iScoresRounded!$N26:$BK26)</f>
        <v>13</v>
      </c>
      <c r="AJ26" s="181">
        <f>RANK(iScoresRounded!AJ26,iScoresRounded!$N26:$BK26)</f>
        <v>22</v>
      </c>
      <c r="AK26" s="181">
        <f>RANK(iScoresRounded!AK26,iScoresRounded!$N26:$BK26)</f>
        <v>41</v>
      </c>
      <c r="AL26" s="181">
        <f>RANK(iScoresRounded!AL26,iScoresRounded!$N26:$BK26)</f>
        <v>35</v>
      </c>
      <c r="AM26" s="181">
        <f>RANK(iScoresRounded!AM26,iScoresRounded!$N26:$BK26)</f>
        <v>43</v>
      </c>
      <c r="AN26" s="181">
        <f>RANK(iScoresRounded!AN26,iScoresRounded!$N26:$BK26)</f>
        <v>49</v>
      </c>
      <c r="AO26" s="181">
        <f>RANK(iScoresRounded!AO26,iScoresRounded!$N26:$BK26)</f>
        <v>5</v>
      </c>
      <c r="AP26" s="181">
        <f>RANK(iScoresRounded!AP26,iScoresRounded!$N26:$BK26)</f>
        <v>3</v>
      </c>
      <c r="AQ26" s="181">
        <f>RANK(iScoresRounded!AQ26,iScoresRounded!$N26:$BK26)</f>
        <v>40</v>
      </c>
      <c r="AR26" s="181">
        <f>RANK(iScoresRounded!AR26,iScoresRounded!$N26:$BK26)</f>
        <v>15</v>
      </c>
      <c r="AS26" s="181">
        <f>RANK(iScoresRounded!AS26,iScoresRounded!$N26:$BK26)</f>
        <v>7</v>
      </c>
      <c r="AT26" s="181">
        <f>RANK(iScoresRounded!AT26,iScoresRounded!$N26:$BK26)</f>
        <v>23</v>
      </c>
      <c r="AU26" s="181">
        <f>RANK(iScoresRounded!AU26,iScoresRounded!$N26:$BK26)</f>
        <v>21</v>
      </c>
      <c r="AV26" s="181">
        <f>RANK(iScoresRounded!AV26,iScoresRounded!$N26:$BK26)</f>
        <v>37</v>
      </c>
      <c r="AW26" s="181">
        <f>RANK(iScoresRounded!AW26,iScoresRounded!$N26:$BK26)</f>
        <v>47</v>
      </c>
      <c r="AX26" s="181">
        <f>RANK(iScoresRounded!AX26,iScoresRounded!$N26:$BK26)</f>
        <v>36</v>
      </c>
      <c r="AY26" s="181">
        <f>RANK(iScoresRounded!AY26,iScoresRounded!$N26:$BK26)</f>
        <v>29</v>
      </c>
      <c r="AZ26" s="181">
        <f>RANK(iScoresRounded!AZ26,iScoresRounded!$N26:$BK26)</f>
        <v>8</v>
      </c>
      <c r="BA26" s="181">
        <f>RANK(iScoresRounded!BA26,iScoresRounded!$N26:$BK26)</f>
        <v>9</v>
      </c>
      <c r="BB26" s="181">
        <f>RANK(iScoresRounded!BB26,iScoresRounded!$N26:$BK26)</f>
        <v>6</v>
      </c>
      <c r="BC26" s="181">
        <f>RANK(iScoresRounded!BC26,iScoresRounded!$N26:$BK26)</f>
        <v>20</v>
      </c>
      <c r="BD26" s="181">
        <f>RANK(iScoresRounded!BD26,iScoresRounded!$N26:$BK26)</f>
        <v>11</v>
      </c>
      <c r="BE26" s="181">
        <f>RANK(iScoresRounded!BE26,iScoresRounded!$N26:$BK26)</f>
        <v>16</v>
      </c>
      <c r="BF26" s="181">
        <f>RANK(iScoresRounded!BF26,iScoresRounded!$N26:$BK26)</f>
        <v>4</v>
      </c>
      <c r="BG26" s="181">
        <f>RANK(iScoresRounded!BG26,iScoresRounded!$N26:$BK26)</f>
        <v>26</v>
      </c>
      <c r="BH26" s="181">
        <f>RANK(iScoresRounded!BH26,iScoresRounded!$N26:$BK26)</f>
        <v>24</v>
      </c>
      <c r="BI26" s="181">
        <f>RANK(iScoresRounded!BI26,iScoresRounded!$N26:$BK26)</f>
        <v>19</v>
      </c>
      <c r="BJ26" s="181">
        <f>RANK(iScoresRounded!BJ26,iScoresRounded!$N26:$BK26)</f>
        <v>50</v>
      </c>
      <c r="BK26" s="181">
        <f>RANK(iScoresRounded!BK26,iScoresRounded!$N26:$BK26)</f>
        <v>37</v>
      </c>
    </row>
    <row r="27" s="22" customFormat="1" spans="1:63">
      <c r="A27" s="24"/>
      <c r="B27" s="24"/>
      <c r="C27" s="24"/>
      <c r="D27" s="52"/>
      <c r="E27" s="52"/>
      <c r="F27" s="52"/>
      <c r="G27" s="52"/>
      <c r="H27" s="52"/>
      <c r="I27" s="52"/>
      <c r="J27" s="52"/>
      <c r="K27" s="54"/>
      <c r="L27" s="62" t="str">
        <f>tblIndicators!Z20</f>
        <v>2.1.4) Number of doctors per 1000</v>
      </c>
      <c r="M27" s="63"/>
      <c r="N27" s="181">
        <f>RANK(iScoresRounded!N27,iScoresRounded!$N27:$BK27)</f>
        <v>9</v>
      </c>
      <c r="O27" s="181">
        <f>RANK(iScoresRounded!O27,iScoresRounded!$N27:$BK27)</f>
        <v>47</v>
      </c>
      <c r="P27" s="181">
        <f>RANK(iScoresRounded!P27,iScoresRounded!$N27:$BK27)</f>
        <v>21</v>
      </c>
      <c r="Q27" s="181">
        <f>RANK(iScoresRounded!Q27,iScoresRounded!$N27:$BK27)</f>
        <v>11</v>
      </c>
      <c r="R27" s="181">
        <f>RANK(iScoresRounded!R27,iScoresRounded!$N27:$BK27)</f>
        <v>14</v>
      </c>
      <c r="S27" s="181">
        <f>RANK(iScoresRounded!S27,iScoresRounded!$N27:$BK27)</f>
        <v>28</v>
      </c>
      <c r="T27" s="181">
        <f>RANK(iScoresRounded!T27,iScoresRounded!$N27:$BK27)</f>
        <v>30</v>
      </c>
      <c r="U27" s="181">
        <f>RANK(iScoresRounded!U27,iScoresRounded!$N27:$BK27)</f>
        <v>45</v>
      </c>
      <c r="V27" s="181">
        <f>RANK(iScoresRounded!V27,iScoresRounded!$N27:$BK27)</f>
        <v>41</v>
      </c>
      <c r="W27" s="181">
        <f>RANK(iScoresRounded!W27,iScoresRounded!$N27:$BK27)</f>
        <v>27</v>
      </c>
      <c r="X27" s="181">
        <f>RANK(iScoresRounded!X27,iScoresRounded!$N27:$BK27)</f>
        <v>29</v>
      </c>
      <c r="Y27" s="181">
        <f>RANK(iScoresRounded!Y27,iScoresRounded!$N27:$BK27)</f>
        <v>42</v>
      </c>
      <c r="Z27" s="181">
        <f>RANK(iScoresRounded!Z27,iScoresRounded!$N27:$BK27)</f>
        <v>43</v>
      </c>
      <c r="AA27" s="181">
        <f>RANK(iScoresRounded!AA27,iScoresRounded!$N27:$BK27)</f>
        <v>18</v>
      </c>
      <c r="AB27" s="181">
        <f>RANK(iScoresRounded!AB27,iScoresRounded!$N27:$BK27)</f>
        <v>3</v>
      </c>
      <c r="AC27" s="181">
        <f>RANK(iScoresRounded!AC27,iScoresRounded!$N27:$BK27)</f>
        <v>23</v>
      </c>
      <c r="AD27" s="181">
        <f>RANK(iScoresRounded!AD27,iScoresRounded!$N27:$BK27)</f>
        <v>20</v>
      </c>
      <c r="AE27" s="181">
        <f>RANK(iScoresRounded!AE27,iScoresRounded!$N27:$BK27)</f>
        <v>37</v>
      </c>
      <c r="AF27" s="181">
        <f>RANK(iScoresRounded!AF27,iScoresRounded!$N27:$BK27)</f>
        <v>15</v>
      </c>
      <c r="AG27" s="181">
        <f>RANK(iScoresRounded!AG27,iScoresRounded!$N27:$BK27)</f>
        <v>31</v>
      </c>
      <c r="AH27" s="181">
        <f>RANK(iScoresRounded!AH27,iScoresRounded!$N27:$BK27)</f>
        <v>33</v>
      </c>
      <c r="AI27" s="181">
        <f>RANK(iScoresRounded!AI27,iScoresRounded!$N27:$BK27)</f>
        <v>26</v>
      </c>
      <c r="AJ27" s="181">
        <f>RANK(iScoresRounded!AJ27,iScoresRounded!$N27:$BK27)</f>
        <v>35</v>
      </c>
      <c r="AK27" s="181">
        <f>RANK(iScoresRounded!AK27,iScoresRounded!$N27:$BK27)</f>
        <v>48</v>
      </c>
      <c r="AL27" s="181">
        <f>RANK(iScoresRounded!AL27,iScoresRounded!$N27:$BK27)</f>
        <v>22</v>
      </c>
      <c r="AM27" s="181">
        <f>RANK(iScoresRounded!AM27,iScoresRounded!$N27:$BK27)</f>
        <v>49</v>
      </c>
      <c r="AN27" s="181">
        <f>RANK(iScoresRounded!AN27,iScoresRounded!$N27:$BK27)</f>
        <v>46</v>
      </c>
      <c r="AO27" s="181">
        <f>RANK(iScoresRounded!AO27,iScoresRounded!$N27:$BK27)</f>
        <v>24</v>
      </c>
      <c r="AP27" s="181">
        <f>RANK(iScoresRounded!AP27,iScoresRounded!$N27:$BK27)</f>
        <v>6</v>
      </c>
      <c r="AQ27" s="181">
        <f>RANK(iScoresRounded!AQ27,iScoresRounded!$N27:$BK27)</f>
        <v>38</v>
      </c>
      <c r="AR27" s="181">
        <f>RANK(iScoresRounded!AR27,iScoresRounded!$N27:$BK27)</f>
        <v>17</v>
      </c>
      <c r="AS27" s="181">
        <f>RANK(iScoresRounded!AS27,iScoresRounded!$N27:$BK27)</f>
        <v>1</v>
      </c>
      <c r="AT27" s="181">
        <f>RANK(iScoresRounded!AT27,iScoresRounded!$N27:$BK27)</f>
        <v>49</v>
      </c>
      <c r="AU27" s="181">
        <f>RANK(iScoresRounded!AU27,iScoresRounded!$N27:$BK27)</f>
        <v>40</v>
      </c>
      <c r="AV27" s="181">
        <f>RANK(iScoresRounded!AV27,iScoresRounded!$N27:$BK27)</f>
        <v>35</v>
      </c>
      <c r="AW27" s="181">
        <f>RANK(iScoresRounded!AW27,iScoresRounded!$N27:$BK27)</f>
        <v>2</v>
      </c>
      <c r="AX27" s="181">
        <f>RANK(iScoresRounded!AX27,iScoresRounded!$N27:$BK27)</f>
        <v>34</v>
      </c>
      <c r="AY27" s="181">
        <f>RANK(iScoresRounded!AY27,iScoresRounded!$N27:$BK27)</f>
        <v>32</v>
      </c>
      <c r="AZ27" s="181">
        <f>RANK(iScoresRounded!AZ27,iScoresRounded!$N27:$BK27)</f>
        <v>4</v>
      </c>
      <c r="BA27" s="181">
        <f>RANK(iScoresRounded!BA27,iScoresRounded!$N27:$BK27)</f>
        <v>16</v>
      </c>
      <c r="BB27" s="181">
        <f>RANK(iScoresRounded!BB27,iScoresRounded!$N27:$BK27)</f>
        <v>13</v>
      </c>
      <c r="BC27" s="181">
        <f>RANK(iScoresRounded!BC27,iScoresRounded!$N27:$BK27)</f>
        <v>10</v>
      </c>
      <c r="BD27" s="181">
        <f>RANK(iScoresRounded!BD27,iScoresRounded!$N27:$BK27)</f>
        <v>39</v>
      </c>
      <c r="BE27" s="181">
        <f>RANK(iScoresRounded!BE27,iScoresRounded!$N27:$BK27)</f>
        <v>25</v>
      </c>
      <c r="BF27" s="181">
        <f>RANK(iScoresRounded!BF27,iScoresRounded!$N27:$BK27)</f>
        <v>12</v>
      </c>
      <c r="BG27" s="181">
        <f>RANK(iScoresRounded!BG27,iScoresRounded!$N27:$BK27)</f>
        <v>5</v>
      </c>
      <c r="BH27" s="181">
        <f>RANK(iScoresRounded!BH27,iScoresRounded!$N27:$BK27)</f>
        <v>7</v>
      </c>
      <c r="BI27" s="181">
        <f>RANK(iScoresRounded!BI27,iScoresRounded!$N27:$BK27)</f>
        <v>8</v>
      </c>
      <c r="BJ27" s="181">
        <f>RANK(iScoresRounded!BJ27,iScoresRounded!$N27:$BK27)</f>
        <v>44</v>
      </c>
      <c r="BK27" s="181">
        <f>RANK(iScoresRounded!BK27,iScoresRounded!$N27:$BK27)</f>
        <v>18</v>
      </c>
    </row>
    <row r="28" s="22" customFormat="1" spans="1:63">
      <c r="A28" s="24"/>
      <c r="B28" s="24"/>
      <c r="C28" s="24"/>
      <c r="D28" s="52"/>
      <c r="E28" s="52"/>
      <c r="F28" s="52"/>
      <c r="G28" s="52"/>
      <c r="H28" s="52"/>
      <c r="I28" s="52"/>
      <c r="J28" s="52"/>
      <c r="K28" s="54"/>
      <c r="L28" s="62" t="str">
        <f>tblIndicators!Z21</f>
        <v>2.1.5) Access to safe and quality food</v>
      </c>
      <c r="M28" s="63"/>
      <c r="N28" s="181">
        <f>RANK(iScoresRounded!N28,iScoresRounded!$N28:$BK28)</f>
        <v>1</v>
      </c>
      <c r="O28" s="181">
        <f>RANK(iScoresRounded!O28,iScoresRounded!$N28:$BK28)</f>
        <v>44</v>
      </c>
      <c r="P28" s="181">
        <f>RANK(iScoresRounded!P28,iScoresRounded!$N28:$BK28)</f>
        <v>24</v>
      </c>
      <c r="Q28" s="181">
        <f>RANK(iScoresRounded!Q28,iScoresRounded!$N28:$BK28)</f>
        <v>42</v>
      </c>
      <c r="R28" s="181">
        <f>RANK(iScoresRounded!R28,iScoresRounded!$N28:$BK28)</f>
        <v>42</v>
      </c>
      <c r="S28" s="181">
        <f>RANK(iScoresRounded!S28,iScoresRounded!$N28:$BK28)</f>
        <v>26</v>
      </c>
      <c r="T28" s="181">
        <f>RANK(iScoresRounded!T28,iScoresRounded!$N28:$BK28)</f>
        <v>26</v>
      </c>
      <c r="U28" s="181">
        <f>RANK(iScoresRounded!U28,iScoresRounded!$N28:$BK28)</f>
        <v>19</v>
      </c>
      <c r="V28" s="181">
        <f>RANK(iScoresRounded!V28,iScoresRounded!$N28:$BK28)</f>
        <v>19</v>
      </c>
      <c r="W28" s="181">
        <f>RANK(iScoresRounded!W28,iScoresRounded!$N28:$BK28)</f>
        <v>26</v>
      </c>
      <c r="X28" s="181">
        <f>RANK(iScoresRounded!X28,iScoresRounded!$N28:$BK28)</f>
        <v>33</v>
      </c>
      <c r="Y28" s="181">
        <f>RANK(iScoresRounded!Y28,iScoresRounded!$N28:$BK28)</f>
        <v>50</v>
      </c>
      <c r="Z28" s="181">
        <f>RANK(iScoresRounded!Z28,iScoresRounded!$N28:$BK28)</f>
        <v>32</v>
      </c>
      <c r="AA28" s="181">
        <f>RANK(iScoresRounded!AA28,iScoresRounded!$N28:$BK28)</f>
        <v>26</v>
      </c>
      <c r="AB28" s="181">
        <f>RANK(iScoresRounded!AB28,iScoresRounded!$N28:$BK28)</f>
        <v>26</v>
      </c>
      <c r="AC28" s="181">
        <f>RANK(iScoresRounded!AC28,iScoresRounded!$N28:$BK28)</f>
        <v>1</v>
      </c>
      <c r="AD28" s="181">
        <f>RANK(iScoresRounded!AD28,iScoresRounded!$N28:$BK28)</f>
        <v>1</v>
      </c>
      <c r="AE28" s="181">
        <f>RANK(iScoresRounded!AE28,iScoresRounded!$N28:$BK28)</f>
        <v>35</v>
      </c>
      <c r="AF28" s="181">
        <f>RANK(iScoresRounded!AF28,iScoresRounded!$N28:$BK28)</f>
        <v>35</v>
      </c>
      <c r="AG28" s="181">
        <f>RANK(iScoresRounded!AG28,iScoresRounded!$N28:$BK28)</f>
        <v>35</v>
      </c>
      <c r="AH28" s="181">
        <f>RANK(iScoresRounded!AH28,iScoresRounded!$N28:$BK28)</f>
        <v>35</v>
      </c>
      <c r="AI28" s="181">
        <f>RANK(iScoresRounded!AI28,iScoresRounded!$N28:$BK28)</f>
        <v>35</v>
      </c>
      <c r="AJ28" s="181">
        <f>RANK(iScoresRounded!AJ28,iScoresRounded!$N28:$BK28)</f>
        <v>35</v>
      </c>
      <c r="AK28" s="181">
        <f>RANK(iScoresRounded!AK28,iScoresRounded!$N28:$BK28)</f>
        <v>46</v>
      </c>
      <c r="AL28" s="181">
        <f>RANK(iScoresRounded!AL28,iScoresRounded!$N28:$BK28)</f>
        <v>46</v>
      </c>
      <c r="AM28" s="181">
        <f>RANK(iScoresRounded!AM28,iScoresRounded!$N28:$BK28)</f>
        <v>49</v>
      </c>
      <c r="AN28" s="181">
        <f>RANK(iScoresRounded!AN28,iScoresRounded!$N28:$BK28)</f>
        <v>48</v>
      </c>
      <c r="AO28" s="181">
        <f>RANK(iScoresRounded!AO28,iScoresRounded!$N28:$BK28)</f>
        <v>1</v>
      </c>
      <c r="AP28" s="181">
        <f>RANK(iScoresRounded!AP28,iScoresRounded!$N28:$BK28)</f>
        <v>1</v>
      </c>
      <c r="AQ28" s="181">
        <f>RANK(iScoresRounded!AQ28,iScoresRounded!$N28:$BK28)</f>
        <v>1</v>
      </c>
      <c r="AR28" s="181">
        <f>RANK(iScoresRounded!AR28,iScoresRounded!$N28:$BK28)</f>
        <v>34</v>
      </c>
      <c r="AS28" s="181">
        <f>RANK(iScoresRounded!AS28,iScoresRounded!$N28:$BK28)</f>
        <v>35</v>
      </c>
      <c r="AT28" s="181">
        <f>RANK(iScoresRounded!AT28,iScoresRounded!$N28:$BK28)</f>
        <v>24</v>
      </c>
      <c r="AU28" s="181">
        <f>RANK(iScoresRounded!AU28,iScoresRounded!$N28:$BK28)</f>
        <v>45</v>
      </c>
      <c r="AV28" s="181">
        <f>RANK(iScoresRounded!AV28,iScoresRounded!$N28:$BK28)</f>
        <v>19</v>
      </c>
      <c r="AW28" s="181">
        <f>RANK(iScoresRounded!AW28,iScoresRounded!$N28:$BK28)</f>
        <v>23</v>
      </c>
      <c r="AX28" s="181">
        <f>RANK(iScoresRounded!AX28,iScoresRounded!$N28:$BK28)</f>
        <v>22</v>
      </c>
      <c r="AY28" s="181">
        <f>RANK(iScoresRounded!AY28,iScoresRounded!$N28:$BK28)</f>
        <v>1</v>
      </c>
      <c r="AZ28" s="181">
        <f>RANK(iScoresRounded!AZ28,iScoresRounded!$N28:$BK28)</f>
        <v>1</v>
      </c>
      <c r="BA28" s="181">
        <f>RANK(iScoresRounded!BA28,iScoresRounded!$N28:$BK28)</f>
        <v>1</v>
      </c>
      <c r="BB28" s="181">
        <f>RANK(iScoresRounded!BB28,iScoresRounded!$N28:$BK28)</f>
        <v>1</v>
      </c>
      <c r="BC28" s="181">
        <f>RANK(iScoresRounded!BC28,iScoresRounded!$N28:$BK28)</f>
        <v>1</v>
      </c>
      <c r="BD28" s="181">
        <f>RANK(iScoresRounded!BD28,iScoresRounded!$N28:$BK28)</f>
        <v>1</v>
      </c>
      <c r="BE28" s="181">
        <f>RANK(iScoresRounded!BE28,iScoresRounded!$N28:$BK28)</f>
        <v>1</v>
      </c>
      <c r="BF28" s="181">
        <f>RANK(iScoresRounded!BF28,iScoresRounded!$N28:$BK28)</f>
        <v>31</v>
      </c>
      <c r="BG28" s="181">
        <f>RANK(iScoresRounded!BG28,iScoresRounded!$N28:$BK28)</f>
        <v>1</v>
      </c>
      <c r="BH28" s="181">
        <f>RANK(iScoresRounded!BH28,iScoresRounded!$N28:$BK28)</f>
        <v>1</v>
      </c>
      <c r="BI28" s="181">
        <f>RANK(iScoresRounded!BI28,iScoresRounded!$N28:$BK28)</f>
        <v>1</v>
      </c>
      <c r="BJ28" s="181">
        <f>RANK(iScoresRounded!BJ28,iScoresRounded!$N28:$BK28)</f>
        <v>18</v>
      </c>
      <c r="BK28" s="181">
        <f>RANK(iScoresRounded!BK28,iScoresRounded!$N28:$BK28)</f>
        <v>1</v>
      </c>
    </row>
    <row r="29" s="22" customFormat="1" spans="1:63">
      <c r="A29" s="24"/>
      <c r="B29" s="24"/>
      <c r="C29" s="24"/>
      <c r="D29" s="52"/>
      <c r="E29" s="52"/>
      <c r="F29" s="52"/>
      <c r="G29" s="52"/>
      <c r="H29" s="52"/>
      <c r="I29" s="52"/>
      <c r="J29" s="52"/>
      <c r="K29" s="54"/>
      <c r="L29" s="62" t="str">
        <f>tblIndicators!Z22</f>
        <v>2.1.6) Quality of health services</v>
      </c>
      <c r="M29" s="63"/>
      <c r="N29" s="181">
        <f>RANK(iScoresRounded!N29,iScoresRounded!$N29:$BK29)</f>
        <v>1</v>
      </c>
      <c r="O29" s="181">
        <f>RANK(iScoresRounded!O29,iScoresRounded!$N29:$BK29)</f>
        <v>45</v>
      </c>
      <c r="P29" s="181">
        <f>RANK(iScoresRounded!P29,iScoresRounded!$N29:$BK29)</f>
        <v>26</v>
      </c>
      <c r="Q29" s="181">
        <f>RANK(iScoresRounded!Q29,iScoresRounded!$N29:$BK29)</f>
        <v>32</v>
      </c>
      <c r="R29" s="181">
        <f>RANK(iScoresRounded!R29,iScoresRounded!$N29:$BK29)</f>
        <v>32</v>
      </c>
      <c r="S29" s="181">
        <f>RANK(iScoresRounded!S29,iScoresRounded!$N29:$BK29)</f>
        <v>15</v>
      </c>
      <c r="T29" s="181">
        <f>RANK(iScoresRounded!T29,iScoresRounded!$N29:$BK29)</f>
        <v>15</v>
      </c>
      <c r="U29" s="181">
        <f>RANK(iScoresRounded!U29,iScoresRounded!$N29:$BK29)</f>
        <v>1</v>
      </c>
      <c r="V29" s="181">
        <f>RANK(iScoresRounded!V29,iScoresRounded!$N29:$BK29)</f>
        <v>1</v>
      </c>
      <c r="W29" s="181">
        <f>RANK(iScoresRounded!W29,iScoresRounded!$N29:$BK29)</f>
        <v>15</v>
      </c>
      <c r="X29" s="181">
        <f>RANK(iScoresRounded!X29,iScoresRounded!$N29:$BK29)</f>
        <v>45</v>
      </c>
      <c r="Y29" s="181">
        <f>RANK(iScoresRounded!Y29,iScoresRounded!$N29:$BK29)</f>
        <v>32</v>
      </c>
      <c r="Z29" s="181">
        <f>RANK(iScoresRounded!Z29,iScoresRounded!$N29:$BK29)</f>
        <v>32</v>
      </c>
      <c r="AA29" s="181">
        <f>RANK(iScoresRounded!AA29,iScoresRounded!$N29:$BK29)</f>
        <v>15</v>
      </c>
      <c r="AB29" s="181">
        <f>RANK(iScoresRounded!AB29,iScoresRounded!$N29:$BK29)</f>
        <v>15</v>
      </c>
      <c r="AC29" s="181">
        <f>RANK(iScoresRounded!AC29,iScoresRounded!$N29:$BK29)</f>
        <v>1</v>
      </c>
      <c r="AD29" s="181">
        <f>RANK(iScoresRounded!AD29,iScoresRounded!$N29:$BK29)</f>
        <v>1</v>
      </c>
      <c r="AE29" s="181">
        <f>RANK(iScoresRounded!AE29,iScoresRounded!$N29:$BK29)</f>
        <v>15</v>
      </c>
      <c r="AF29" s="181">
        <f>RANK(iScoresRounded!AF29,iScoresRounded!$N29:$BK29)</f>
        <v>32</v>
      </c>
      <c r="AG29" s="181">
        <f>RANK(iScoresRounded!AG29,iScoresRounded!$N29:$BK29)</f>
        <v>32</v>
      </c>
      <c r="AH29" s="181">
        <f>RANK(iScoresRounded!AH29,iScoresRounded!$N29:$BK29)</f>
        <v>32</v>
      </c>
      <c r="AI29" s="181">
        <f>RANK(iScoresRounded!AI29,iScoresRounded!$N29:$BK29)</f>
        <v>32</v>
      </c>
      <c r="AJ29" s="181">
        <f>RANK(iScoresRounded!AJ29,iScoresRounded!$N29:$BK29)</f>
        <v>32</v>
      </c>
      <c r="AK29" s="181">
        <f>RANK(iScoresRounded!AK29,iScoresRounded!$N29:$BK29)</f>
        <v>48</v>
      </c>
      <c r="AL29" s="181">
        <f>RANK(iScoresRounded!AL29,iScoresRounded!$N29:$BK29)</f>
        <v>32</v>
      </c>
      <c r="AM29" s="181">
        <f>RANK(iScoresRounded!AM29,iScoresRounded!$N29:$BK29)</f>
        <v>48</v>
      </c>
      <c r="AN29" s="181">
        <f>RANK(iScoresRounded!AN29,iScoresRounded!$N29:$BK29)</f>
        <v>32</v>
      </c>
      <c r="AO29" s="181">
        <f>RANK(iScoresRounded!AO29,iScoresRounded!$N29:$BK29)</f>
        <v>1</v>
      </c>
      <c r="AP29" s="181">
        <f>RANK(iScoresRounded!AP29,iScoresRounded!$N29:$BK29)</f>
        <v>1</v>
      </c>
      <c r="AQ29" s="181">
        <f>RANK(iScoresRounded!AQ29,iScoresRounded!$N29:$BK29)</f>
        <v>1</v>
      </c>
      <c r="AR29" s="181">
        <f>RANK(iScoresRounded!AR29,iScoresRounded!$N29:$BK29)</f>
        <v>15</v>
      </c>
      <c r="AS29" s="181">
        <f>RANK(iScoresRounded!AS29,iScoresRounded!$N29:$BK29)</f>
        <v>15</v>
      </c>
      <c r="AT29" s="181">
        <f>RANK(iScoresRounded!AT29,iScoresRounded!$N29:$BK29)</f>
        <v>32</v>
      </c>
      <c r="AU29" s="181">
        <f>RANK(iScoresRounded!AU29,iScoresRounded!$N29:$BK29)</f>
        <v>48</v>
      </c>
      <c r="AV29" s="181">
        <f>RANK(iScoresRounded!AV29,iScoresRounded!$N29:$BK29)</f>
        <v>15</v>
      </c>
      <c r="AW29" s="181">
        <f>RANK(iScoresRounded!AW29,iScoresRounded!$N29:$BK29)</f>
        <v>26</v>
      </c>
      <c r="AX29" s="181">
        <f>RANK(iScoresRounded!AX29,iScoresRounded!$N29:$BK29)</f>
        <v>32</v>
      </c>
      <c r="AY29" s="181">
        <f>RANK(iScoresRounded!AY29,iScoresRounded!$N29:$BK29)</f>
        <v>26</v>
      </c>
      <c r="AZ29" s="181">
        <f>RANK(iScoresRounded!AZ29,iScoresRounded!$N29:$BK29)</f>
        <v>1</v>
      </c>
      <c r="BA29" s="181">
        <f>RANK(iScoresRounded!BA29,iScoresRounded!$N29:$BK29)</f>
        <v>1</v>
      </c>
      <c r="BB29" s="181">
        <f>RANK(iScoresRounded!BB29,iScoresRounded!$N29:$BK29)</f>
        <v>1</v>
      </c>
      <c r="BC29" s="181">
        <f>RANK(iScoresRounded!BC29,iScoresRounded!$N29:$BK29)</f>
        <v>26</v>
      </c>
      <c r="BD29" s="181">
        <f>RANK(iScoresRounded!BD29,iScoresRounded!$N29:$BK29)</f>
        <v>26</v>
      </c>
      <c r="BE29" s="181">
        <f>RANK(iScoresRounded!BE29,iScoresRounded!$N29:$BK29)</f>
        <v>1</v>
      </c>
      <c r="BF29" s="181">
        <f>RANK(iScoresRounded!BF29,iScoresRounded!$N29:$BK29)</f>
        <v>26</v>
      </c>
      <c r="BG29" s="181">
        <f>RANK(iScoresRounded!BG29,iScoresRounded!$N29:$BK29)</f>
        <v>15</v>
      </c>
      <c r="BH29" s="181">
        <f>RANK(iScoresRounded!BH29,iScoresRounded!$N29:$BK29)</f>
        <v>1</v>
      </c>
      <c r="BI29" s="181">
        <f>RANK(iScoresRounded!BI29,iScoresRounded!$N29:$BK29)</f>
        <v>1</v>
      </c>
      <c r="BJ29" s="181">
        <f>RANK(iScoresRounded!BJ29,iScoresRounded!$N29:$BK29)</f>
        <v>45</v>
      </c>
      <c r="BK29" s="181">
        <f>RANK(iScoresRounded!BK29,iScoresRounded!$N29:$BK29)</f>
        <v>15</v>
      </c>
    </row>
    <row r="30" s="22" customFormat="1" spans="1:63">
      <c r="A30" s="24"/>
      <c r="B30" s="24"/>
      <c r="C30" s="24"/>
      <c r="D30" s="52"/>
      <c r="E30" s="52"/>
      <c r="F30" s="52"/>
      <c r="G30" s="52"/>
      <c r="H30" s="52"/>
      <c r="I30" s="52"/>
      <c r="J30" s="52"/>
      <c r="K30" s="54"/>
      <c r="L30" s="62" t="str">
        <f>tblIndicators!Z23</f>
        <v>2.2) Health Security (Outputs)</v>
      </c>
      <c r="M30" s="63"/>
      <c r="N30" s="181">
        <f>RANK(iScoresRounded!N30,iScoresRounded!$N30:$BK30)</f>
        <v>12</v>
      </c>
      <c r="O30" s="181">
        <f>RANK(iScoresRounded!O30,iScoresRounded!$N30:$BK30)</f>
        <v>45</v>
      </c>
      <c r="P30" s="181">
        <f>RANK(iScoresRounded!P30,iScoresRounded!$N30:$BK30)</f>
        <v>31</v>
      </c>
      <c r="Q30" s="181">
        <f>RANK(iScoresRounded!Q30,iScoresRounded!$N30:$BK30)</f>
        <v>33</v>
      </c>
      <c r="R30" s="181">
        <f>RANK(iScoresRounded!R30,iScoresRounded!$N30:$BK30)</f>
        <v>44</v>
      </c>
      <c r="S30" s="181">
        <f>RANK(iScoresRounded!S30,iScoresRounded!$N30:$BK30)</f>
        <v>32</v>
      </c>
      <c r="T30" s="181">
        <f>RANK(iScoresRounded!T30,iScoresRounded!$N30:$BK30)</f>
        <v>9</v>
      </c>
      <c r="U30" s="181">
        <f>RANK(iScoresRounded!U30,iScoresRounded!$N30:$BK30)</f>
        <v>11</v>
      </c>
      <c r="V30" s="181">
        <f>RANK(iScoresRounded!V30,iScoresRounded!$N30:$BK30)</f>
        <v>24</v>
      </c>
      <c r="W30" s="181">
        <f>RANK(iScoresRounded!W30,iScoresRounded!$N30:$BK30)</f>
        <v>23</v>
      </c>
      <c r="X30" s="181">
        <f>RANK(iScoresRounded!X30,iScoresRounded!$N30:$BK30)</f>
        <v>30</v>
      </c>
      <c r="Y30" s="181">
        <f>RANK(iScoresRounded!Y30,iScoresRounded!$N30:$BK30)</f>
        <v>38</v>
      </c>
      <c r="Z30" s="181">
        <f>RANK(iScoresRounded!Z30,iScoresRounded!$N30:$BK30)</f>
        <v>16</v>
      </c>
      <c r="AA30" s="181">
        <f>RANK(iScoresRounded!AA30,iScoresRounded!$N30:$BK30)</f>
        <v>1</v>
      </c>
      <c r="AB30" s="181">
        <f>RANK(iScoresRounded!AB30,iScoresRounded!$N30:$BK30)</f>
        <v>28</v>
      </c>
      <c r="AC30" s="181">
        <f>RANK(iScoresRounded!AC30,iScoresRounded!$N30:$BK30)</f>
        <v>7</v>
      </c>
      <c r="AD30" s="181">
        <f>RANK(iScoresRounded!AD30,iScoresRounded!$N30:$BK30)</f>
        <v>8</v>
      </c>
      <c r="AE30" s="181">
        <f>RANK(iScoresRounded!AE30,iScoresRounded!$N30:$BK30)</f>
        <v>10</v>
      </c>
      <c r="AF30" s="181">
        <f>RANK(iScoresRounded!AF30,iScoresRounded!$N30:$BK30)</f>
        <v>25</v>
      </c>
      <c r="AG30" s="181">
        <f>RANK(iScoresRounded!AG30,iScoresRounded!$N30:$BK30)</f>
        <v>26</v>
      </c>
      <c r="AH30" s="181">
        <f>RANK(iScoresRounded!AH30,iScoresRounded!$N30:$BK30)</f>
        <v>35</v>
      </c>
      <c r="AI30" s="181">
        <f>RANK(iScoresRounded!AI30,iScoresRounded!$N30:$BK30)</f>
        <v>42</v>
      </c>
      <c r="AJ30" s="181">
        <f>RANK(iScoresRounded!AJ30,iScoresRounded!$N30:$BK30)</f>
        <v>33</v>
      </c>
      <c r="AK30" s="181">
        <f>RANK(iScoresRounded!AK30,iScoresRounded!$N30:$BK30)</f>
        <v>49</v>
      </c>
      <c r="AL30" s="181">
        <f>RANK(iScoresRounded!AL30,iScoresRounded!$N30:$BK30)</f>
        <v>47</v>
      </c>
      <c r="AM30" s="181">
        <f>RANK(iScoresRounded!AM30,iScoresRounded!$N30:$BK30)</f>
        <v>41</v>
      </c>
      <c r="AN30" s="181">
        <f>RANK(iScoresRounded!AN30,iScoresRounded!$N30:$BK30)</f>
        <v>48</v>
      </c>
      <c r="AO30" s="181">
        <f>RANK(iScoresRounded!AO30,iScoresRounded!$N30:$BK30)</f>
        <v>17</v>
      </c>
      <c r="AP30" s="181">
        <f>RANK(iScoresRounded!AP30,iScoresRounded!$N30:$BK30)</f>
        <v>22</v>
      </c>
      <c r="AQ30" s="181">
        <f>RANK(iScoresRounded!AQ30,iScoresRounded!$N30:$BK30)</f>
        <v>6</v>
      </c>
      <c r="AR30" s="181">
        <f>RANK(iScoresRounded!AR30,iScoresRounded!$N30:$BK30)</f>
        <v>15</v>
      </c>
      <c r="AS30" s="181">
        <f>RANK(iScoresRounded!AS30,iScoresRounded!$N30:$BK30)</f>
        <v>29</v>
      </c>
      <c r="AT30" s="181">
        <f>RANK(iScoresRounded!AT30,iScoresRounded!$N30:$BK30)</f>
        <v>37</v>
      </c>
      <c r="AU30" s="181">
        <f>RANK(iScoresRounded!AU30,iScoresRounded!$N30:$BK30)</f>
        <v>43</v>
      </c>
      <c r="AV30" s="181">
        <f>RANK(iScoresRounded!AV30,iScoresRounded!$N30:$BK30)</f>
        <v>36</v>
      </c>
      <c r="AW30" s="181">
        <f>RANK(iScoresRounded!AW30,iScoresRounded!$N30:$BK30)</f>
        <v>46</v>
      </c>
      <c r="AX30" s="181">
        <f>RANK(iScoresRounded!AX30,iScoresRounded!$N30:$BK30)</f>
        <v>40</v>
      </c>
      <c r="AY30" s="181">
        <f>RANK(iScoresRounded!AY30,iScoresRounded!$N30:$BK30)</f>
        <v>50</v>
      </c>
      <c r="AZ30" s="181">
        <f>RANK(iScoresRounded!AZ30,iScoresRounded!$N30:$BK30)</f>
        <v>18</v>
      </c>
      <c r="BA30" s="181">
        <f>RANK(iScoresRounded!BA30,iScoresRounded!$N30:$BK30)</f>
        <v>14</v>
      </c>
      <c r="BB30" s="181">
        <f>RANK(iScoresRounded!BB30,iScoresRounded!$N30:$BK30)</f>
        <v>5</v>
      </c>
      <c r="BC30" s="181">
        <f>RANK(iScoresRounded!BC30,iScoresRounded!$N30:$BK30)</f>
        <v>20</v>
      </c>
      <c r="BD30" s="181">
        <f>RANK(iScoresRounded!BD30,iScoresRounded!$N30:$BK30)</f>
        <v>21</v>
      </c>
      <c r="BE30" s="181">
        <f>RANK(iScoresRounded!BE30,iScoresRounded!$N30:$BK30)</f>
        <v>19</v>
      </c>
      <c r="BF30" s="181">
        <f>RANK(iScoresRounded!BF30,iScoresRounded!$N30:$BK30)</f>
        <v>27</v>
      </c>
      <c r="BG30" s="181">
        <f>RANK(iScoresRounded!BG30,iScoresRounded!$N30:$BK30)</f>
        <v>3</v>
      </c>
      <c r="BH30" s="181">
        <f>RANK(iScoresRounded!BH30,iScoresRounded!$N30:$BK30)</f>
        <v>4</v>
      </c>
      <c r="BI30" s="181">
        <f>RANK(iScoresRounded!BI30,iScoresRounded!$N30:$BK30)</f>
        <v>2</v>
      </c>
      <c r="BJ30" s="181">
        <f>RANK(iScoresRounded!BJ30,iScoresRounded!$N30:$BK30)</f>
        <v>39</v>
      </c>
      <c r="BK30" s="181">
        <f>RANK(iScoresRounded!BK30,iScoresRounded!$N30:$BK30)</f>
        <v>13</v>
      </c>
    </row>
    <row r="31" s="22" customFormat="1" spans="1:63">
      <c r="A31" s="24"/>
      <c r="B31" s="24"/>
      <c r="C31" s="24"/>
      <c r="D31" s="52"/>
      <c r="E31" s="52"/>
      <c r="F31" s="52"/>
      <c r="G31" s="52"/>
      <c r="H31" s="52"/>
      <c r="I31" s="52"/>
      <c r="J31" s="52"/>
      <c r="K31" s="54"/>
      <c r="L31" s="62" t="str">
        <f>tblIndicators!Z24</f>
        <v>2.2.1) Air quality</v>
      </c>
      <c r="M31" s="63"/>
      <c r="N31" s="181">
        <f>RANK(iScoresRounded!N31,iScoresRounded!$N31:$BK31)</f>
        <v>3</v>
      </c>
      <c r="O31" s="181">
        <f>RANK(iScoresRounded!O31,iScoresRounded!$N31:$BK31)</f>
        <v>46</v>
      </c>
      <c r="P31" s="181">
        <f>RANK(iScoresRounded!P31,iScoresRounded!$N31:$BK31)</f>
        <v>14</v>
      </c>
      <c r="Q31" s="181">
        <f>RANK(iScoresRounded!Q31,iScoresRounded!$N31:$BK31)</f>
        <v>22</v>
      </c>
      <c r="R31" s="181">
        <f>RANK(iScoresRounded!R31,iScoresRounded!$N31:$BK31)</f>
        <v>39</v>
      </c>
      <c r="S31" s="181">
        <f>RANK(iScoresRounded!S31,iScoresRounded!$N31:$BK31)</f>
        <v>23</v>
      </c>
      <c r="T31" s="181">
        <f>RANK(iScoresRounded!T31,iScoresRounded!$N31:$BK31)</f>
        <v>7</v>
      </c>
      <c r="U31" s="181">
        <f>RANK(iScoresRounded!U31,iScoresRounded!$N31:$BK31)</f>
        <v>4</v>
      </c>
      <c r="V31" s="181">
        <f>RANK(iScoresRounded!V31,iScoresRounded!$N31:$BK31)</f>
        <v>5</v>
      </c>
      <c r="W31" s="181">
        <f>RANK(iScoresRounded!W31,iScoresRounded!$N31:$BK31)</f>
        <v>11</v>
      </c>
      <c r="X31" s="181">
        <f>RANK(iScoresRounded!X31,iScoresRounded!$N31:$BK31)</f>
        <v>30</v>
      </c>
      <c r="Y31" s="181">
        <f>RANK(iScoresRounded!Y31,iScoresRounded!$N31:$BK31)</f>
        <v>41</v>
      </c>
      <c r="Z31" s="181">
        <f>RANK(iScoresRounded!Z31,iScoresRounded!$N31:$BK31)</f>
        <v>31</v>
      </c>
      <c r="AA31" s="181">
        <f>RANK(iScoresRounded!AA31,iScoresRounded!$N31:$BK31)</f>
        <v>12</v>
      </c>
      <c r="AB31" s="181">
        <f>RANK(iScoresRounded!AB31,iScoresRounded!$N31:$BK31)</f>
        <v>10</v>
      </c>
      <c r="AC31" s="181">
        <f>RANK(iScoresRounded!AC31,iScoresRounded!$N31:$BK31)</f>
        <v>1</v>
      </c>
      <c r="AD31" s="181">
        <f>RANK(iScoresRounded!AD31,iScoresRounded!$N31:$BK31)</f>
        <v>1</v>
      </c>
      <c r="AE31" s="181">
        <f>RANK(iScoresRounded!AE31,iScoresRounded!$N31:$BK31)</f>
        <v>25</v>
      </c>
      <c r="AF31" s="181">
        <f>RANK(iScoresRounded!AF31,iScoresRounded!$N31:$BK31)</f>
        <v>47</v>
      </c>
      <c r="AG31" s="181">
        <f>RANK(iScoresRounded!AG31,iScoresRounded!$N31:$BK31)</f>
        <v>39</v>
      </c>
      <c r="AH31" s="181">
        <f>RANK(iScoresRounded!AH31,iScoresRounded!$N31:$BK31)</f>
        <v>31</v>
      </c>
      <c r="AI31" s="181">
        <f>RANK(iScoresRounded!AI31,iScoresRounded!$N31:$BK31)</f>
        <v>36</v>
      </c>
      <c r="AJ31" s="181">
        <f>RANK(iScoresRounded!AJ31,iScoresRounded!$N31:$BK31)</f>
        <v>43</v>
      </c>
      <c r="AK31" s="181">
        <f>RANK(iScoresRounded!AK31,iScoresRounded!$N31:$BK31)</f>
        <v>44</v>
      </c>
      <c r="AL31" s="181">
        <f>RANK(iScoresRounded!AL31,iScoresRounded!$N31:$BK31)</f>
        <v>45</v>
      </c>
      <c r="AM31" s="181">
        <f>RANK(iScoresRounded!AM31,iScoresRounded!$N31:$BK31)</f>
        <v>25</v>
      </c>
      <c r="AN31" s="181">
        <f>RANK(iScoresRounded!AN31,iScoresRounded!$N31:$BK31)</f>
        <v>35</v>
      </c>
      <c r="AO31" s="181">
        <f>RANK(iScoresRounded!AO31,iScoresRounded!$N31:$BK31)</f>
        <v>7</v>
      </c>
      <c r="AP31" s="181">
        <f>RANK(iScoresRounded!AP31,iScoresRounded!$N31:$BK31)</f>
        <v>5</v>
      </c>
      <c r="AQ31" s="181">
        <f>RANK(iScoresRounded!AQ31,iScoresRounded!$N31:$BK31)</f>
        <v>17</v>
      </c>
      <c r="AR31" s="181">
        <f>RANK(iScoresRounded!AR31,iScoresRounded!$N31:$BK31)</f>
        <v>28</v>
      </c>
      <c r="AS31" s="181">
        <f>RANK(iScoresRounded!AS31,iScoresRounded!$N31:$BK31)</f>
        <v>42</v>
      </c>
      <c r="AT31" s="181">
        <f>RANK(iScoresRounded!AT31,iScoresRounded!$N31:$BK31)</f>
        <v>23</v>
      </c>
      <c r="AU31" s="181">
        <f>RANK(iScoresRounded!AU31,iScoresRounded!$N31:$BK31)</f>
        <v>33</v>
      </c>
      <c r="AV31" s="181">
        <f>RANK(iScoresRounded!AV31,iScoresRounded!$N31:$BK31)</f>
        <v>48</v>
      </c>
      <c r="AW31" s="181">
        <f>RANK(iScoresRounded!AW31,iScoresRounded!$N31:$BK31)</f>
        <v>50</v>
      </c>
      <c r="AX31" s="181">
        <f>RANK(iScoresRounded!AX31,iScoresRounded!$N31:$BK31)</f>
        <v>34</v>
      </c>
      <c r="AY31" s="181">
        <f>RANK(iScoresRounded!AY31,iScoresRounded!$N31:$BK31)</f>
        <v>49</v>
      </c>
      <c r="AZ31" s="181">
        <f>RANK(iScoresRounded!AZ31,iScoresRounded!$N31:$BK31)</f>
        <v>19</v>
      </c>
      <c r="BA31" s="181">
        <f>RANK(iScoresRounded!BA31,iScoresRounded!$N31:$BK31)</f>
        <v>17</v>
      </c>
      <c r="BB31" s="181">
        <f>RANK(iScoresRounded!BB31,iScoresRounded!$N31:$BK31)</f>
        <v>19</v>
      </c>
      <c r="BC31" s="181">
        <f>RANK(iScoresRounded!BC31,iScoresRounded!$N31:$BK31)</f>
        <v>25</v>
      </c>
      <c r="BD31" s="181">
        <f>RANK(iScoresRounded!BD31,iScoresRounded!$N31:$BK31)</f>
        <v>38</v>
      </c>
      <c r="BE31" s="181">
        <f>RANK(iScoresRounded!BE31,iScoresRounded!$N31:$BK31)</f>
        <v>19</v>
      </c>
      <c r="BF31" s="181">
        <f>RANK(iScoresRounded!BF31,iScoresRounded!$N31:$BK31)</f>
        <v>28</v>
      </c>
      <c r="BG31" s="181">
        <f>RANK(iScoresRounded!BG31,iScoresRounded!$N31:$BK31)</f>
        <v>9</v>
      </c>
      <c r="BH31" s="181">
        <f>RANK(iScoresRounded!BH31,iScoresRounded!$N31:$BK31)</f>
        <v>14</v>
      </c>
      <c r="BI31" s="181">
        <f>RANK(iScoresRounded!BI31,iScoresRounded!$N31:$BK31)</f>
        <v>12</v>
      </c>
      <c r="BJ31" s="181">
        <f>RANK(iScoresRounded!BJ31,iScoresRounded!$N31:$BK31)</f>
        <v>36</v>
      </c>
      <c r="BK31" s="181">
        <f>RANK(iScoresRounded!BK31,iScoresRounded!$N31:$BK31)</f>
        <v>14</v>
      </c>
    </row>
    <row r="32" s="22" customFormat="1" spans="1:63">
      <c r="A32" s="24"/>
      <c r="B32" s="24"/>
      <c r="C32" s="24"/>
      <c r="D32" s="52"/>
      <c r="E32" s="52"/>
      <c r="F32" s="52"/>
      <c r="G32" s="52"/>
      <c r="H32" s="52"/>
      <c r="I32" s="52"/>
      <c r="J32" s="52"/>
      <c r="K32" s="54"/>
      <c r="L32" s="62" t="str">
        <f>tblIndicators!Z25</f>
        <v>2.2.2) Water quality</v>
      </c>
      <c r="M32" s="63"/>
      <c r="N32" s="181">
        <f>RANK(iScoresRounded!N32,iScoresRounded!$N32:$BK32)</f>
        <v>21</v>
      </c>
      <c r="O32" s="181">
        <f>RANK(iScoresRounded!O32,iScoresRounded!$N32:$BK32)</f>
        <v>36</v>
      </c>
      <c r="P32" s="181">
        <f>RANK(iScoresRounded!P32,iScoresRounded!$N32:$BK32)</f>
        <v>49</v>
      </c>
      <c r="Q32" s="181">
        <f>RANK(iScoresRounded!Q32,iScoresRounded!$N32:$BK32)</f>
        <v>17</v>
      </c>
      <c r="R32" s="181">
        <f>RANK(iScoresRounded!R32,iScoresRounded!$N32:$BK32)</f>
        <v>43</v>
      </c>
      <c r="S32" s="181">
        <f>RANK(iScoresRounded!S32,iScoresRounded!$N32:$BK32)</f>
        <v>14</v>
      </c>
      <c r="T32" s="181">
        <f>RANK(iScoresRounded!T32,iScoresRounded!$N32:$BK32)</f>
        <v>6</v>
      </c>
      <c r="U32" s="181">
        <f>RANK(iScoresRounded!U32,iScoresRounded!$N32:$BK32)</f>
        <v>11</v>
      </c>
      <c r="V32" s="181">
        <f>RANK(iScoresRounded!V32,iScoresRounded!$N32:$BK32)</f>
        <v>47</v>
      </c>
      <c r="W32" s="181">
        <f>RANK(iScoresRounded!W32,iScoresRounded!$N32:$BK32)</f>
        <v>12</v>
      </c>
      <c r="X32" s="181">
        <f>RANK(iScoresRounded!X32,iScoresRounded!$N32:$BK32)</f>
        <v>29</v>
      </c>
      <c r="Y32" s="181">
        <f>RANK(iScoresRounded!Y32,iScoresRounded!$N32:$BK32)</f>
        <v>37</v>
      </c>
      <c r="Z32" s="181">
        <f>RANK(iScoresRounded!Z32,iScoresRounded!$N32:$BK32)</f>
        <v>23</v>
      </c>
      <c r="AA32" s="181">
        <f>RANK(iScoresRounded!AA32,iScoresRounded!$N32:$BK32)</f>
        <v>3</v>
      </c>
      <c r="AB32" s="181">
        <f>RANK(iScoresRounded!AB32,iScoresRounded!$N32:$BK32)</f>
        <v>28</v>
      </c>
      <c r="AC32" s="181">
        <f>RANK(iScoresRounded!AC32,iScoresRounded!$N32:$BK32)</f>
        <v>13</v>
      </c>
      <c r="AD32" s="181">
        <f>RANK(iScoresRounded!AD32,iScoresRounded!$N32:$BK32)</f>
        <v>26</v>
      </c>
      <c r="AE32" s="181">
        <f>RANK(iScoresRounded!AE32,iScoresRounded!$N32:$BK32)</f>
        <v>30</v>
      </c>
      <c r="AF32" s="181">
        <f>RANK(iScoresRounded!AF32,iScoresRounded!$N32:$BK32)</f>
        <v>19</v>
      </c>
      <c r="AG32" s="181">
        <f>RANK(iScoresRounded!AG32,iScoresRounded!$N32:$BK32)</f>
        <v>33</v>
      </c>
      <c r="AH32" s="181">
        <f>RANK(iScoresRounded!AH32,iScoresRounded!$N32:$BK32)</f>
        <v>30</v>
      </c>
      <c r="AI32" s="181">
        <f>RANK(iScoresRounded!AI32,iScoresRounded!$N32:$BK32)</f>
        <v>42</v>
      </c>
      <c r="AJ32" s="181">
        <f>RANK(iScoresRounded!AJ32,iScoresRounded!$N32:$BK32)</f>
        <v>19</v>
      </c>
      <c r="AK32" s="181">
        <f>RANK(iScoresRounded!AK32,iScoresRounded!$N32:$BK32)</f>
        <v>30</v>
      </c>
      <c r="AL32" s="181">
        <f>RANK(iScoresRounded!AL32,iScoresRounded!$N32:$BK32)</f>
        <v>39</v>
      </c>
      <c r="AM32" s="181">
        <f>RANK(iScoresRounded!AM32,iScoresRounded!$N32:$BK32)</f>
        <v>44</v>
      </c>
      <c r="AN32" s="181">
        <f>RANK(iScoresRounded!AN32,iScoresRounded!$N32:$BK32)</f>
        <v>48</v>
      </c>
      <c r="AO32" s="181">
        <f>RANK(iScoresRounded!AO32,iScoresRounded!$N32:$BK32)</f>
        <v>15</v>
      </c>
      <c r="AP32" s="181">
        <f>RANK(iScoresRounded!AP32,iScoresRounded!$N32:$BK32)</f>
        <v>22</v>
      </c>
      <c r="AQ32" s="181">
        <f>RANK(iScoresRounded!AQ32,iScoresRounded!$N32:$BK32)</f>
        <v>16</v>
      </c>
      <c r="AR32" s="181">
        <f>RANK(iScoresRounded!AR32,iScoresRounded!$N32:$BK32)</f>
        <v>18</v>
      </c>
      <c r="AS32" s="181">
        <f>RANK(iScoresRounded!AS32,iScoresRounded!$N32:$BK32)</f>
        <v>34</v>
      </c>
      <c r="AT32" s="181">
        <f>RANK(iScoresRounded!AT32,iScoresRounded!$N32:$BK32)</f>
        <v>45</v>
      </c>
      <c r="AU32" s="181">
        <f>RANK(iScoresRounded!AU32,iScoresRounded!$N32:$BK32)</f>
        <v>41</v>
      </c>
      <c r="AV32" s="181">
        <f>RANK(iScoresRounded!AV32,iScoresRounded!$N32:$BK32)</f>
        <v>37</v>
      </c>
      <c r="AW32" s="181">
        <f>RANK(iScoresRounded!AW32,iScoresRounded!$N32:$BK32)</f>
        <v>50</v>
      </c>
      <c r="AX32" s="181">
        <f>RANK(iScoresRounded!AX32,iScoresRounded!$N32:$BK32)</f>
        <v>46</v>
      </c>
      <c r="AY32" s="181">
        <f>RANK(iScoresRounded!AY32,iScoresRounded!$N32:$BK32)</f>
        <v>35</v>
      </c>
      <c r="AZ32" s="181">
        <f>RANK(iScoresRounded!AZ32,iScoresRounded!$N32:$BK32)</f>
        <v>2</v>
      </c>
      <c r="BA32" s="181">
        <f>RANK(iScoresRounded!BA32,iScoresRounded!$N32:$BK32)</f>
        <v>10</v>
      </c>
      <c r="BB32" s="181">
        <f>RANK(iScoresRounded!BB32,iScoresRounded!$N32:$BK32)</f>
        <v>5</v>
      </c>
      <c r="BC32" s="181">
        <f>RANK(iScoresRounded!BC32,iScoresRounded!$N32:$BK32)</f>
        <v>24</v>
      </c>
      <c r="BD32" s="181">
        <f>RANK(iScoresRounded!BD32,iScoresRounded!$N32:$BK32)</f>
        <v>24</v>
      </c>
      <c r="BE32" s="181">
        <f>RANK(iScoresRounded!BE32,iScoresRounded!$N32:$BK32)</f>
        <v>1</v>
      </c>
      <c r="BF32" s="181">
        <f>RANK(iScoresRounded!BF32,iScoresRounded!$N32:$BK32)</f>
        <v>27</v>
      </c>
      <c r="BG32" s="181">
        <f>RANK(iScoresRounded!BG32,iScoresRounded!$N32:$BK32)</f>
        <v>7</v>
      </c>
      <c r="BH32" s="181">
        <f>RANK(iScoresRounded!BH32,iScoresRounded!$N32:$BK32)</f>
        <v>7</v>
      </c>
      <c r="BI32" s="181">
        <f>RANK(iScoresRounded!BI32,iScoresRounded!$N32:$BK32)</f>
        <v>3</v>
      </c>
      <c r="BJ32" s="181">
        <f>RANK(iScoresRounded!BJ32,iScoresRounded!$N32:$BK32)</f>
        <v>40</v>
      </c>
      <c r="BK32" s="181">
        <f>RANK(iScoresRounded!BK32,iScoresRounded!$N32:$BK32)</f>
        <v>9</v>
      </c>
    </row>
    <row r="33" s="22" customFormat="1" spans="1:63">
      <c r="A33" s="24"/>
      <c r="B33" s="24"/>
      <c r="C33" s="24"/>
      <c r="D33" s="52"/>
      <c r="E33" s="52"/>
      <c r="F33" s="52"/>
      <c r="G33" s="52"/>
      <c r="H33" s="52"/>
      <c r="I33" s="52"/>
      <c r="J33" s="52"/>
      <c r="K33" s="54"/>
      <c r="L33" s="62" t="str">
        <f>tblIndicators!Z26</f>
        <v>2.2.3) Life expectancy</v>
      </c>
      <c r="M33" s="63"/>
      <c r="N33" s="181">
        <f>RANK(iScoresRounded!N33,iScoresRounded!$N33:$BK33)</f>
        <v>9</v>
      </c>
      <c r="O33" s="181">
        <f>RANK(iScoresRounded!O33,iScoresRounded!$N33:$BK33)</f>
        <v>50</v>
      </c>
      <c r="P33" s="181">
        <f>RANK(iScoresRounded!P33,iScoresRounded!$N33:$BK33)</f>
        <v>36</v>
      </c>
      <c r="Q33" s="181">
        <f>RANK(iScoresRounded!Q33,iScoresRounded!$N33:$BK33)</f>
        <v>47</v>
      </c>
      <c r="R33" s="181">
        <f>RANK(iScoresRounded!R33,iScoresRounded!$N33:$BK33)</f>
        <v>44</v>
      </c>
      <c r="S33" s="181">
        <f>RANK(iScoresRounded!S33,iScoresRounded!$N33:$BK33)</f>
        <v>22</v>
      </c>
      <c r="T33" s="181">
        <f>RANK(iScoresRounded!T33,iScoresRounded!$N33:$BK33)</f>
        <v>24</v>
      </c>
      <c r="U33" s="181">
        <f>RANK(iScoresRounded!U33,iScoresRounded!$N33:$BK33)</f>
        <v>20</v>
      </c>
      <c r="V33" s="181">
        <f>RANK(iScoresRounded!V33,iScoresRounded!$N33:$BK33)</f>
        <v>18</v>
      </c>
      <c r="W33" s="181">
        <f>RANK(iScoresRounded!W33,iScoresRounded!$N33:$BK33)</f>
        <v>30</v>
      </c>
      <c r="X33" s="181">
        <f>RANK(iScoresRounded!X33,iScoresRounded!$N33:$BK33)</f>
        <v>33</v>
      </c>
      <c r="Y33" s="181">
        <f>RANK(iScoresRounded!Y33,iScoresRounded!$N33:$BK33)</f>
        <v>41</v>
      </c>
      <c r="Z33" s="181">
        <f>RANK(iScoresRounded!Z33,iScoresRounded!$N33:$BK33)</f>
        <v>28</v>
      </c>
      <c r="AA33" s="181">
        <f>RANK(iScoresRounded!AA33,iScoresRounded!$N33:$BK33)</f>
        <v>19</v>
      </c>
      <c r="AB33" s="181">
        <f>RANK(iScoresRounded!AB33,iScoresRounded!$N33:$BK33)</f>
        <v>37</v>
      </c>
      <c r="AC33" s="181">
        <f>RANK(iScoresRounded!AC33,iScoresRounded!$N33:$BK33)</f>
        <v>16</v>
      </c>
      <c r="AD33" s="181">
        <f>RANK(iScoresRounded!AD33,iScoresRounded!$N33:$BK33)</f>
        <v>1</v>
      </c>
      <c r="AE33" s="181">
        <f>RANK(iScoresRounded!AE33,iScoresRounded!$N33:$BK33)</f>
        <v>2</v>
      </c>
      <c r="AF33" s="181">
        <f>RANK(iScoresRounded!AF33,iScoresRounded!$N33:$BK33)</f>
        <v>17</v>
      </c>
      <c r="AG33" s="181">
        <f>RANK(iScoresRounded!AG33,iScoresRounded!$N33:$BK33)</f>
        <v>23</v>
      </c>
      <c r="AH33" s="181">
        <f>RANK(iScoresRounded!AH33,iScoresRounded!$N33:$BK33)</f>
        <v>39</v>
      </c>
      <c r="AI33" s="181">
        <f>RANK(iScoresRounded!AI33,iScoresRounded!$N33:$BK33)</f>
        <v>35</v>
      </c>
      <c r="AJ33" s="181">
        <f>RANK(iScoresRounded!AJ33,iScoresRounded!$N33:$BK33)</f>
        <v>26</v>
      </c>
      <c r="AK33" s="181">
        <f>RANK(iScoresRounded!AK33,iScoresRounded!$N33:$BK33)</f>
        <v>47</v>
      </c>
      <c r="AL33" s="181">
        <f>RANK(iScoresRounded!AL33,iScoresRounded!$N33:$BK33)</f>
        <v>49</v>
      </c>
      <c r="AM33" s="181">
        <f>RANK(iScoresRounded!AM33,iScoresRounded!$N33:$BK33)</f>
        <v>43</v>
      </c>
      <c r="AN33" s="181">
        <f>RANK(iScoresRounded!AN33,iScoresRounded!$N33:$BK33)</f>
        <v>34</v>
      </c>
      <c r="AO33" s="181">
        <f>RANK(iScoresRounded!AO33,iScoresRounded!$N33:$BK33)</f>
        <v>8</v>
      </c>
      <c r="AP33" s="181">
        <f>RANK(iScoresRounded!AP33,iScoresRounded!$N33:$BK33)</f>
        <v>4</v>
      </c>
      <c r="AQ33" s="181">
        <f>RANK(iScoresRounded!AQ33,iScoresRounded!$N33:$BK33)</f>
        <v>13</v>
      </c>
      <c r="AR33" s="181">
        <f>RANK(iScoresRounded!AR33,iScoresRounded!$N33:$BK33)</f>
        <v>5</v>
      </c>
      <c r="AS33" s="181">
        <f>RANK(iScoresRounded!AS33,iScoresRounded!$N33:$BK33)</f>
        <v>7</v>
      </c>
      <c r="AT33" s="181">
        <f>RANK(iScoresRounded!AT33,iScoresRounded!$N33:$BK33)</f>
        <v>42</v>
      </c>
      <c r="AU33" s="181">
        <f>RANK(iScoresRounded!AU33,iScoresRounded!$N33:$BK33)</f>
        <v>45</v>
      </c>
      <c r="AV33" s="181">
        <f>RANK(iScoresRounded!AV33,iScoresRounded!$N33:$BK33)</f>
        <v>31</v>
      </c>
      <c r="AW33" s="181">
        <f>RANK(iScoresRounded!AW33,iScoresRounded!$N33:$BK33)</f>
        <v>29</v>
      </c>
      <c r="AX33" s="181">
        <f>RANK(iScoresRounded!AX33,iScoresRounded!$N33:$BK33)</f>
        <v>40</v>
      </c>
      <c r="AY33" s="181">
        <f>RANK(iScoresRounded!AY33,iScoresRounded!$N33:$BK33)</f>
        <v>32</v>
      </c>
      <c r="AZ33" s="181">
        <f>RANK(iScoresRounded!AZ33,iScoresRounded!$N33:$BK33)</f>
        <v>21</v>
      </c>
      <c r="BA33" s="181">
        <f>RANK(iScoresRounded!BA33,iScoresRounded!$N33:$BK33)</f>
        <v>15</v>
      </c>
      <c r="BB33" s="181">
        <f>RANK(iScoresRounded!BB33,iScoresRounded!$N33:$BK33)</f>
        <v>25</v>
      </c>
      <c r="BC33" s="181">
        <f>RANK(iScoresRounded!BC33,iScoresRounded!$N33:$BK33)</f>
        <v>9</v>
      </c>
      <c r="BD33" s="181">
        <f>RANK(iScoresRounded!BD33,iScoresRounded!$N33:$BK33)</f>
        <v>6</v>
      </c>
      <c r="BE33" s="181">
        <f>RANK(iScoresRounded!BE33,iScoresRounded!$N33:$BK33)</f>
        <v>27</v>
      </c>
      <c r="BF33" s="181">
        <f>RANK(iScoresRounded!BF33,iScoresRounded!$N33:$BK33)</f>
        <v>38</v>
      </c>
      <c r="BG33" s="181">
        <f>RANK(iScoresRounded!BG33,iScoresRounded!$N33:$BK33)</f>
        <v>11</v>
      </c>
      <c r="BH33" s="181">
        <f>RANK(iScoresRounded!BH33,iScoresRounded!$N33:$BK33)</f>
        <v>11</v>
      </c>
      <c r="BI33" s="181">
        <f>RANK(iScoresRounded!BI33,iScoresRounded!$N33:$BK33)</f>
        <v>3</v>
      </c>
      <c r="BJ33" s="181">
        <f>RANK(iScoresRounded!BJ33,iScoresRounded!$N33:$BK33)</f>
        <v>46</v>
      </c>
      <c r="BK33" s="181">
        <f>RANK(iScoresRounded!BK33,iScoresRounded!$N33:$BK33)</f>
        <v>14</v>
      </c>
    </row>
    <row r="34" s="22" customFormat="1" spans="1:63">
      <c r="A34" s="24"/>
      <c r="B34" s="24"/>
      <c r="C34" s="24"/>
      <c r="D34" s="52"/>
      <c r="E34" s="52"/>
      <c r="F34" s="52"/>
      <c r="G34" s="52"/>
      <c r="H34" s="52"/>
      <c r="I34" s="52"/>
      <c r="J34" s="52"/>
      <c r="K34" s="54"/>
      <c r="L34" s="62" t="str">
        <f>tblIndicators!Z27</f>
        <v>2.2.4) Infant mortality (deaths per 1,000 live births)</v>
      </c>
      <c r="M34" s="63"/>
      <c r="N34" s="181">
        <f>RANK(iScoresRounded!N34,iScoresRounded!$N34:$BK34)</f>
        <v>3</v>
      </c>
      <c r="O34" s="181">
        <f>RANK(iScoresRounded!O34,iScoresRounded!$N34:$BK34)</f>
        <v>24</v>
      </c>
      <c r="P34" s="181">
        <f>RANK(iScoresRounded!P34,iScoresRounded!$N34:$BK34)</f>
        <v>37</v>
      </c>
      <c r="Q34" s="181">
        <f>RANK(iScoresRounded!Q34,iScoresRounded!$N34:$BK34)</f>
        <v>42</v>
      </c>
      <c r="R34" s="181">
        <f>RANK(iScoresRounded!R34,iScoresRounded!$N34:$BK34)</f>
        <v>46</v>
      </c>
      <c r="S34" s="181">
        <f>RANK(iScoresRounded!S34,iScoresRounded!$N34:$BK34)</f>
        <v>20</v>
      </c>
      <c r="T34" s="181">
        <f>RANK(iScoresRounded!T34,iScoresRounded!$N34:$BK34)</f>
        <v>10</v>
      </c>
      <c r="U34" s="181">
        <f>RANK(iScoresRounded!U34,iScoresRounded!$N34:$BK34)</f>
        <v>29</v>
      </c>
      <c r="V34" s="181">
        <f>RANK(iScoresRounded!V34,iScoresRounded!$N34:$BK34)</f>
        <v>23</v>
      </c>
      <c r="W34" s="181">
        <f>RANK(iScoresRounded!W34,iScoresRounded!$N34:$BK34)</f>
        <v>32</v>
      </c>
      <c r="X34" s="181">
        <f>RANK(iScoresRounded!X34,iScoresRounded!$N34:$BK34)</f>
        <v>45</v>
      </c>
      <c r="Y34" s="181">
        <f>RANK(iScoresRounded!Y34,iScoresRounded!$N34:$BK34)</f>
        <v>38</v>
      </c>
      <c r="Z34" s="181">
        <f>RANK(iScoresRounded!Z34,iScoresRounded!$N34:$BK34)</f>
        <v>33</v>
      </c>
      <c r="AA34" s="181">
        <f>RANK(iScoresRounded!AA34,iScoresRounded!$N34:$BK34)</f>
        <v>20</v>
      </c>
      <c r="AB34" s="181">
        <f>RANK(iScoresRounded!AB34,iScoresRounded!$N34:$BK34)</f>
        <v>25</v>
      </c>
      <c r="AC34" s="181">
        <f>RANK(iScoresRounded!AC34,iScoresRounded!$N34:$BK34)</f>
        <v>11</v>
      </c>
      <c r="AD34" s="181">
        <f>RANK(iScoresRounded!AD34,iScoresRounded!$N34:$BK34)</f>
        <v>12</v>
      </c>
      <c r="AE34" s="181">
        <f>RANK(iScoresRounded!AE34,iScoresRounded!$N34:$BK34)</f>
        <v>2</v>
      </c>
      <c r="AF34" s="181">
        <f>RANK(iScoresRounded!AF34,iScoresRounded!$N34:$BK34)</f>
        <v>9</v>
      </c>
      <c r="AG34" s="181">
        <f>RANK(iScoresRounded!AG34,iScoresRounded!$N34:$BK34)</f>
        <v>27</v>
      </c>
      <c r="AH34" s="181">
        <f>RANK(iScoresRounded!AH34,iScoresRounded!$N34:$BK34)</f>
        <v>39</v>
      </c>
      <c r="AI34" s="181">
        <f>RANK(iScoresRounded!AI34,iScoresRounded!$N34:$BK34)</f>
        <v>39</v>
      </c>
      <c r="AJ34" s="181">
        <f>RANK(iScoresRounded!AJ34,iScoresRounded!$N34:$BK34)</f>
        <v>39</v>
      </c>
      <c r="AK34" s="181">
        <f>RANK(iScoresRounded!AK34,iScoresRounded!$N34:$BK34)</f>
        <v>49</v>
      </c>
      <c r="AL34" s="181">
        <f>RANK(iScoresRounded!AL34,iScoresRounded!$N34:$BK34)</f>
        <v>48</v>
      </c>
      <c r="AM34" s="181">
        <f>RANK(iScoresRounded!AM34,iScoresRounded!$N34:$BK34)</f>
        <v>43</v>
      </c>
      <c r="AN34" s="181">
        <f>RANK(iScoresRounded!AN34,iScoresRounded!$N34:$BK34)</f>
        <v>50</v>
      </c>
      <c r="AO34" s="181">
        <f>RANK(iScoresRounded!AO34,iScoresRounded!$N34:$BK34)</f>
        <v>5</v>
      </c>
      <c r="AP34" s="181">
        <f>RANK(iScoresRounded!AP34,iScoresRounded!$N34:$BK34)</f>
        <v>4</v>
      </c>
      <c r="AQ34" s="181">
        <f>RANK(iScoresRounded!AQ34,iScoresRounded!$N34:$BK34)</f>
        <v>6</v>
      </c>
      <c r="AR34" s="181">
        <f>RANK(iScoresRounded!AR34,iScoresRounded!$N34:$BK34)</f>
        <v>22</v>
      </c>
      <c r="AS34" s="181">
        <f>RANK(iScoresRounded!AS34,iScoresRounded!$N34:$BK34)</f>
        <v>16</v>
      </c>
      <c r="AT34" s="181">
        <f>RANK(iScoresRounded!AT34,iScoresRounded!$N34:$BK34)</f>
        <v>33</v>
      </c>
      <c r="AU34" s="181">
        <f>RANK(iScoresRounded!AU34,iScoresRounded!$N34:$BK34)</f>
        <v>47</v>
      </c>
      <c r="AV34" s="181">
        <f>RANK(iScoresRounded!AV34,iScoresRounded!$N34:$BK34)</f>
        <v>36</v>
      </c>
      <c r="AW34" s="181">
        <f>RANK(iScoresRounded!AW34,iScoresRounded!$N34:$BK34)</f>
        <v>30</v>
      </c>
      <c r="AX34" s="181">
        <f>RANK(iScoresRounded!AX34,iScoresRounded!$N34:$BK34)</f>
        <v>44</v>
      </c>
      <c r="AY34" s="181">
        <f>RANK(iScoresRounded!AY34,iScoresRounded!$N34:$BK34)</f>
        <v>28</v>
      </c>
      <c r="AZ34" s="181">
        <f>RANK(iScoresRounded!AZ34,iScoresRounded!$N34:$BK34)</f>
        <v>8</v>
      </c>
      <c r="BA34" s="181">
        <f>RANK(iScoresRounded!BA34,iScoresRounded!$N34:$BK34)</f>
        <v>14</v>
      </c>
      <c r="BB34" s="181">
        <f>RANK(iScoresRounded!BB34,iScoresRounded!$N34:$BK34)</f>
        <v>1</v>
      </c>
      <c r="BC34" s="181">
        <f>RANK(iScoresRounded!BC34,iScoresRounded!$N34:$BK34)</f>
        <v>31</v>
      </c>
      <c r="BD34" s="181">
        <f>RANK(iScoresRounded!BD34,iScoresRounded!$N34:$BK34)</f>
        <v>7</v>
      </c>
      <c r="BE34" s="181">
        <f>RANK(iScoresRounded!BE34,iScoresRounded!$N34:$BK34)</f>
        <v>17</v>
      </c>
      <c r="BF34" s="181">
        <f>RANK(iScoresRounded!BF34,iScoresRounded!$N34:$BK34)</f>
        <v>35</v>
      </c>
      <c r="BG34" s="181">
        <f>RANK(iScoresRounded!BG34,iScoresRounded!$N34:$BK34)</f>
        <v>15</v>
      </c>
      <c r="BH34" s="181">
        <f>RANK(iScoresRounded!BH34,iScoresRounded!$N34:$BK34)</f>
        <v>13</v>
      </c>
      <c r="BI34" s="181">
        <f>RANK(iScoresRounded!BI34,iScoresRounded!$N34:$BK34)</f>
        <v>18</v>
      </c>
      <c r="BJ34" s="181">
        <f>RANK(iScoresRounded!BJ34,iScoresRounded!$N34:$BK34)</f>
        <v>26</v>
      </c>
      <c r="BK34" s="181">
        <f>RANK(iScoresRounded!BK34,iScoresRounded!$N34:$BK34)</f>
        <v>18</v>
      </c>
    </row>
    <row r="35" s="22" customFormat="1" spans="1:63">
      <c r="A35" s="24"/>
      <c r="B35" s="24"/>
      <c r="C35" s="24"/>
      <c r="D35" s="52"/>
      <c r="E35" s="52"/>
      <c r="F35" s="52"/>
      <c r="G35" s="52"/>
      <c r="H35" s="52"/>
      <c r="I35" s="52"/>
      <c r="J35" s="52"/>
      <c r="K35" s="54"/>
      <c r="L35" s="62" t="str">
        <f>tblIndicators!Z28</f>
        <v>2.2.5) Cancer mortality rate ( Cancer deaths per 100,000)</v>
      </c>
      <c r="M35" s="63"/>
      <c r="N35" s="181">
        <f>RANK(iScoresRounded!N35,iScoresRounded!$N35:$BK35)</f>
        <v>40</v>
      </c>
      <c r="O35" s="181">
        <f>RANK(iScoresRounded!O35,iScoresRounded!$N35:$BK35)</f>
        <v>7</v>
      </c>
      <c r="P35" s="181">
        <f>RANK(iScoresRounded!P35,iScoresRounded!$N35:$BK35)</f>
        <v>22</v>
      </c>
      <c r="Q35" s="181">
        <f>RANK(iScoresRounded!Q35,iScoresRounded!$N35:$BK35)</f>
        <v>18</v>
      </c>
      <c r="R35" s="181">
        <f>RANK(iScoresRounded!R35,iScoresRounded!$N35:$BK35)</f>
        <v>18</v>
      </c>
      <c r="S35" s="181">
        <f>RANK(iScoresRounded!S35,iScoresRounded!$N35:$BK35)</f>
        <v>49</v>
      </c>
      <c r="T35" s="181">
        <f>RANK(iScoresRounded!T35,iScoresRounded!$N35:$BK35)</f>
        <v>36</v>
      </c>
      <c r="U35" s="181">
        <f>RANK(iScoresRounded!U35,iScoresRounded!$N35:$BK35)</f>
        <v>32</v>
      </c>
      <c r="V35" s="181">
        <f>RANK(iScoresRounded!V35,iScoresRounded!$N35:$BK35)</f>
        <v>35</v>
      </c>
      <c r="W35" s="181">
        <f>RANK(iScoresRounded!W35,iScoresRounded!$N35:$BK35)</f>
        <v>41</v>
      </c>
      <c r="X35" s="181">
        <f>RANK(iScoresRounded!X35,iScoresRounded!$N35:$BK35)</f>
        <v>8</v>
      </c>
      <c r="Y35" s="181">
        <f>RANK(iScoresRounded!Y35,iScoresRounded!$N35:$BK35)</f>
        <v>13</v>
      </c>
      <c r="Z35" s="181">
        <f>RANK(iScoresRounded!Z35,iScoresRounded!$N35:$BK35)</f>
        <v>2</v>
      </c>
      <c r="AA35" s="181">
        <f>RANK(iScoresRounded!AA35,iScoresRounded!$N35:$BK35)</f>
        <v>1</v>
      </c>
      <c r="AB35" s="181">
        <f>RANK(iScoresRounded!AB35,iScoresRounded!$N35:$BK35)</f>
        <v>44</v>
      </c>
      <c r="AC35" s="181">
        <f>RANK(iScoresRounded!AC35,iScoresRounded!$N35:$BK35)</f>
        <v>38</v>
      </c>
      <c r="AD35" s="181">
        <f>RANK(iScoresRounded!AD35,iScoresRounded!$N35:$BK35)</f>
        <v>42</v>
      </c>
      <c r="AE35" s="181">
        <f>RANK(iScoresRounded!AE35,iScoresRounded!$N35:$BK35)</f>
        <v>21</v>
      </c>
      <c r="AF35" s="181">
        <f>RANK(iScoresRounded!AF35,iScoresRounded!$N35:$BK35)</f>
        <v>24</v>
      </c>
      <c r="AG35" s="181">
        <f>RANK(iScoresRounded!AG35,iScoresRounded!$N35:$BK35)</f>
        <v>29</v>
      </c>
      <c r="AH35" s="181">
        <f>RANK(iScoresRounded!AH35,iScoresRounded!$N35:$BK35)</f>
        <v>24</v>
      </c>
      <c r="AI35" s="181">
        <f>RANK(iScoresRounded!AI35,iScoresRounded!$N35:$BK35)</f>
        <v>33</v>
      </c>
      <c r="AJ35" s="181">
        <f>RANK(iScoresRounded!AJ35,iScoresRounded!$N35:$BK35)</f>
        <v>24</v>
      </c>
      <c r="AK35" s="181">
        <f>RANK(iScoresRounded!AK35,iScoresRounded!$N35:$BK35)</f>
        <v>6</v>
      </c>
      <c r="AL35" s="181">
        <f>RANK(iScoresRounded!AL35,iScoresRounded!$N35:$BK35)</f>
        <v>3</v>
      </c>
      <c r="AM35" s="181">
        <f>RANK(iScoresRounded!AM35,iScoresRounded!$N35:$BK35)</f>
        <v>11</v>
      </c>
      <c r="AN35" s="181">
        <f>RANK(iScoresRounded!AN35,iScoresRounded!$N35:$BK35)</f>
        <v>10</v>
      </c>
      <c r="AO35" s="181">
        <f>RANK(iScoresRounded!AO35,iScoresRounded!$N35:$BK35)</f>
        <v>47</v>
      </c>
      <c r="AP35" s="181">
        <f>RANK(iScoresRounded!AP35,iScoresRounded!$N35:$BK35)</f>
        <v>48</v>
      </c>
      <c r="AQ35" s="181">
        <f>RANK(iScoresRounded!AQ35,iScoresRounded!$N35:$BK35)</f>
        <v>12</v>
      </c>
      <c r="AR35" s="181">
        <f>RANK(iScoresRounded!AR35,iScoresRounded!$N35:$BK35)</f>
        <v>23</v>
      </c>
      <c r="AS35" s="181">
        <f>RANK(iScoresRounded!AS35,iScoresRounded!$N35:$BK35)</f>
        <v>43</v>
      </c>
      <c r="AT35" s="181">
        <f>RANK(iScoresRounded!AT35,iScoresRounded!$N35:$BK35)</f>
        <v>34</v>
      </c>
      <c r="AU35" s="181">
        <f>RANK(iScoresRounded!AU35,iScoresRounded!$N35:$BK35)</f>
        <v>20</v>
      </c>
      <c r="AV35" s="181">
        <f>RANK(iScoresRounded!AV35,iScoresRounded!$N35:$BK35)</f>
        <v>5</v>
      </c>
      <c r="AW35" s="181">
        <f>RANK(iScoresRounded!AW35,iScoresRounded!$N35:$BK35)</f>
        <v>9</v>
      </c>
      <c r="AX35" s="181">
        <f>RANK(iScoresRounded!AX35,iScoresRounded!$N35:$BK35)</f>
        <v>4</v>
      </c>
      <c r="AY35" s="181">
        <f>RANK(iScoresRounded!AY35,iScoresRounded!$N35:$BK35)</f>
        <v>50</v>
      </c>
      <c r="AZ35" s="181">
        <f>RANK(iScoresRounded!AZ35,iScoresRounded!$N35:$BK35)</f>
        <v>46</v>
      </c>
      <c r="BA35" s="181">
        <f>RANK(iScoresRounded!BA35,iScoresRounded!$N35:$BK35)</f>
        <v>39</v>
      </c>
      <c r="BB35" s="181">
        <f>RANK(iScoresRounded!BB35,iScoresRounded!$N35:$BK35)</f>
        <v>17</v>
      </c>
      <c r="BC35" s="181">
        <f>RANK(iScoresRounded!BC35,iScoresRounded!$N35:$BK35)</f>
        <v>30</v>
      </c>
      <c r="BD35" s="181">
        <f>RANK(iScoresRounded!BD35,iScoresRounded!$N35:$BK35)</f>
        <v>31</v>
      </c>
      <c r="BE35" s="181">
        <f>RANK(iScoresRounded!BE35,iScoresRounded!$N35:$BK35)</f>
        <v>45</v>
      </c>
      <c r="BF35" s="181">
        <f>RANK(iScoresRounded!BF35,iScoresRounded!$N35:$BK35)</f>
        <v>27</v>
      </c>
      <c r="BG35" s="181">
        <f>RANK(iScoresRounded!BG35,iScoresRounded!$N35:$BK35)</f>
        <v>15</v>
      </c>
      <c r="BH35" s="181">
        <f>RANK(iScoresRounded!BH35,iScoresRounded!$N35:$BK35)</f>
        <v>15</v>
      </c>
      <c r="BI35" s="181">
        <f>RANK(iScoresRounded!BI35,iScoresRounded!$N35:$BK35)</f>
        <v>14</v>
      </c>
      <c r="BJ35" s="181">
        <f>RANK(iScoresRounded!BJ35,iScoresRounded!$N35:$BK35)</f>
        <v>28</v>
      </c>
      <c r="BK35" s="181">
        <f>RANK(iScoresRounded!BK35,iScoresRounded!$N35:$BK35)</f>
        <v>37</v>
      </c>
    </row>
    <row r="36" s="22" customFormat="1" spans="1:63">
      <c r="A36" s="24"/>
      <c r="B36" s="24"/>
      <c r="C36" s="24"/>
      <c r="D36" s="52"/>
      <c r="E36" s="52"/>
      <c r="F36" s="52"/>
      <c r="G36" s="52"/>
      <c r="H36" s="52"/>
      <c r="I36" s="52"/>
      <c r="J36" s="52"/>
      <c r="K36" s="54"/>
      <c r="L36" s="62" t="str">
        <f>tblIndicators!Z29</f>
        <v>3) INFRASTRUCTURE SAFETY</v>
      </c>
      <c r="M36" s="63"/>
      <c r="N36" s="181">
        <f>RANK(iScoresRounded!N36,iScoresRounded!$N36:$BK36)</f>
        <v>21</v>
      </c>
      <c r="O36" s="181">
        <f>RANK(iScoresRounded!O36,iScoresRounded!$N36:$BK36)</f>
        <v>45</v>
      </c>
      <c r="P36" s="181">
        <f>RANK(iScoresRounded!P36,iScoresRounded!$N36:$BK36)</f>
        <v>28</v>
      </c>
      <c r="Q36" s="181">
        <f>RANK(iScoresRounded!Q36,iScoresRounded!$N36:$BK36)</f>
        <v>35</v>
      </c>
      <c r="R36" s="181">
        <f>RANK(iScoresRounded!R36,iScoresRounded!$N36:$BK36)</f>
        <v>38</v>
      </c>
      <c r="S36" s="181">
        <f>RANK(iScoresRounded!S36,iScoresRounded!$N36:$BK36)</f>
        <v>19</v>
      </c>
      <c r="T36" s="181">
        <f>RANK(iScoresRounded!T36,iScoresRounded!$N36:$BK36)</f>
        <v>10</v>
      </c>
      <c r="U36" s="181">
        <f>RANK(iScoresRounded!U36,iScoresRounded!$N36:$BK36)</f>
        <v>8</v>
      </c>
      <c r="V36" s="181">
        <f>RANK(iScoresRounded!V36,iScoresRounded!$N36:$BK36)</f>
        <v>6</v>
      </c>
      <c r="W36" s="181">
        <f>RANK(iScoresRounded!W36,iScoresRounded!$N36:$BK36)</f>
        <v>13</v>
      </c>
      <c r="X36" s="181">
        <f>RANK(iScoresRounded!X36,iScoresRounded!$N36:$BK36)</f>
        <v>49</v>
      </c>
      <c r="Y36" s="181">
        <f>RANK(iScoresRounded!Y36,iScoresRounded!$N36:$BK36)</f>
        <v>37</v>
      </c>
      <c r="Z36" s="181">
        <f>RANK(iScoresRounded!Z36,iScoresRounded!$N36:$BK36)</f>
        <v>24</v>
      </c>
      <c r="AA36" s="181">
        <f>RANK(iScoresRounded!AA36,iScoresRounded!$N36:$BK36)</f>
        <v>16</v>
      </c>
      <c r="AB36" s="181">
        <f>RANK(iScoresRounded!AB36,iScoresRounded!$N36:$BK36)</f>
        <v>29</v>
      </c>
      <c r="AC36" s="181">
        <f>RANK(iScoresRounded!AC36,iScoresRounded!$N36:$BK36)</f>
        <v>3</v>
      </c>
      <c r="AD36" s="181">
        <f>RANK(iScoresRounded!AD36,iScoresRounded!$N36:$BK36)</f>
        <v>2</v>
      </c>
      <c r="AE36" s="181">
        <f>RANK(iScoresRounded!AE36,iScoresRounded!$N36:$BK36)</f>
        <v>40</v>
      </c>
      <c r="AF36" s="181">
        <f>RANK(iScoresRounded!AF36,iScoresRounded!$N36:$BK36)</f>
        <v>32</v>
      </c>
      <c r="AG36" s="181">
        <f>RANK(iScoresRounded!AG36,iScoresRounded!$N36:$BK36)</f>
        <v>30</v>
      </c>
      <c r="AH36" s="181">
        <f>RANK(iScoresRounded!AH36,iScoresRounded!$N36:$BK36)</f>
        <v>34</v>
      </c>
      <c r="AI36" s="181">
        <f>RANK(iScoresRounded!AI36,iScoresRounded!$N36:$BK36)</f>
        <v>31</v>
      </c>
      <c r="AJ36" s="181">
        <f>RANK(iScoresRounded!AJ36,iScoresRounded!$N36:$BK36)</f>
        <v>33</v>
      </c>
      <c r="AK36" s="181">
        <f>RANK(iScoresRounded!AK36,iScoresRounded!$N36:$BK36)</f>
        <v>47</v>
      </c>
      <c r="AL36" s="181">
        <f>RANK(iScoresRounded!AL36,iScoresRounded!$N36:$BK36)</f>
        <v>46</v>
      </c>
      <c r="AM36" s="181">
        <f>RANK(iScoresRounded!AM36,iScoresRounded!$N36:$BK36)</f>
        <v>48</v>
      </c>
      <c r="AN36" s="181">
        <f>RANK(iScoresRounded!AN36,iScoresRounded!$N36:$BK36)</f>
        <v>43</v>
      </c>
      <c r="AO36" s="181">
        <f>RANK(iScoresRounded!AO36,iScoresRounded!$N36:$BK36)</f>
        <v>5</v>
      </c>
      <c r="AP36" s="181">
        <f>RANK(iScoresRounded!AP36,iScoresRounded!$N36:$BK36)</f>
        <v>12</v>
      </c>
      <c r="AQ36" s="181">
        <f>RANK(iScoresRounded!AQ36,iScoresRounded!$N36:$BK36)</f>
        <v>7</v>
      </c>
      <c r="AR36" s="181">
        <f>RANK(iScoresRounded!AR36,iScoresRounded!$N36:$BK36)</f>
        <v>15</v>
      </c>
      <c r="AS36" s="181">
        <f>RANK(iScoresRounded!AS36,iScoresRounded!$N36:$BK36)</f>
        <v>22</v>
      </c>
      <c r="AT36" s="181">
        <f>RANK(iScoresRounded!AT36,iScoresRounded!$N36:$BK36)</f>
        <v>42</v>
      </c>
      <c r="AU36" s="181">
        <f>RANK(iScoresRounded!AU36,iScoresRounded!$N36:$BK36)</f>
        <v>50</v>
      </c>
      <c r="AV36" s="181">
        <f>RANK(iScoresRounded!AV36,iScoresRounded!$N36:$BK36)</f>
        <v>39</v>
      </c>
      <c r="AW36" s="181">
        <f>RANK(iScoresRounded!AW36,iScoresRounded!$N36:$BK36)</f>
        <v>36</v>
      </c>
      <c r="AX36" s="181">
        <f>RANK(iScoresRounded!AX36,iScoresRounded!$N36:$BK36)</f>
        <v>44</v>
      </c>
      <c r="AY36" s="181">
        <f>RANK(iScoresRounded!AY36,iScoresRounded!$N36:$BK36)</f>
        <v>10</v>
      </c>
      <c r="AZ36" s="181">
        <f>RANK(iScoresRounded!AZ36,iScoresRounded!$N36:$BK36)</f>
        <v>17</v>
      </c>
      <c r="BA36" s="181">
        <f>RANK(iScoresRounded!BA36,iScoresRounded!$N36:$BK36)</f>
        <v>26</v>
      </c>
      <c r="BB36" s="181">
        <f>RANK(iScoresRounded!BB36,iScoresRounded!$N36:$BK36)</f>
        <v>20</v>
      </c>
      <c r="BC36" s="181">
        <f>RANK(iScoresRounded!BC36,iScoresRounded!$N36:$BK36)</f>
        <v>18</v>
      </c>
      <c r="BD36" s="181">
        <f>RANK(iScoresRounded!BD36,iScoresRounded!$N36:$BK36)</f>
        <v>23</v>
      </c>
      <c r="BE36" s="181">
        <f>RANK(iScoresRounded!BE36,iScoresRounded!$N36:$BK36)</f>
        <v>4</v>
      </c>
      <c r="BF36" s="181">
        <f>RANK(iScoresRounded!BF36,iScoresRounded!$N36:$BK36)</f>
        <v>41</v>
      </c>
      <c r="BG36" s="181">
        <f>RANK(iScoresRounded!BG36,iScoresRounded!$N36:$BK36)</f>
        <v>9</v>
      </c>
      <c r="BH36" s="181">
        <f>RANK(iScoresRounded!BH36,iScoresRounded!$N36:$BK36)</f>
        <v>14</v>
      </c>
      <c r="BI36" s="181">
        <f>RANK(iScoresRounded!BI36,iScoresRounded!$N36:$BK36)</f>
        <v>1</v>
      </c>
      <c r="BJ36" s="181">
        <f>RANK(iScoresRounded!BJ36,iScoresRounded!$N36:$BK36)</f>
        <v>27</v>
      </c>
      <c r="BK36" s="181">
        <f>RANK(iScoresRounded!BK36,iScoresRounded!$N36:$BK36)</f>
        <v>25</v>
      </c>
    </row>
    <row r="37" s="22" customFormat="1" spans="1:63">
      <c r="A37" s="24"/>
      <c r="B37" s="24"/>
      <c r="C37" s="24"/>
      <c r="D37" s="52"/>
      <c r="E37" s="52"/>
      <c r="F37" s="52"/>
      <c r="G37" s="52"/>
      <c r="H37" s="52"/>
      <c r="I37" s="52"/>
      <c r="J37" s="52"/>
      <c r="K37" s="54"/>
      <c r="L37" s="62" t="str">
        <f>tblIndicators!Z30</f>
        <v>3.1) Infrastructure Safety (Inputs)</v>
      </c>
      <c r="M37" s="63"/>
      <c r="N37" s="181">
        <f>RANK(iScoresRounded!N37,iScoresRounded!$N37:$BK37)</f>
        <v>36</v>
      </c>
      <c r="O37" s="181">
        <f>RANK(iScoresRounded!O37,iScoresRounded!$N37:$BK37)</f>
        <v>43</v>
      </c>
      <c r="P37" s="181">
        <f>RANK(iScoresRounded!P37,iScoresRounded!$N37:$BK37)</f>
        <v>19</v>
      </c>
      <c r="Q37" s="181">
        <f>RANK(iScoresRounded!Q37,iScoresRounded!$N37:$BK37)</f>
        <v>26</v>
      </c>
      <c r="R37" s="181">
        <f>RANK(iScoresRounded!R37,iScoresRounded!$N37:$BK37)</f>
        <v>37</v>
      </c>
      <c r="S37" s="181">
        <f>RANK(iScoresRounded!S37,iScoresRounded!$N37:$BK37)</f>
        <v>22</v>
      </c>
      <c r="T37" s="181">
        <f>RANK(iScoresRounded!T37,iScoresRounded!$N37:$BK37)</f>
        <v>12</v>
      </c>
      <c r="U37" s="181">
        <f>RANK(iScoresRounded!U37,iScoresRounded!$N37:$BK37)</f>
        <v>12</v>
      </c>
      <c r="V37" s="181">
        <f>RANK(iScoresRounded!V37,iScoresRounded!$N37:$BK37)</f>
        <v>12</v>
      </c>
      <c r="W37" s="181">
        <f>RANK(iScoresRounded!W37,iScoresRounded!$N37:$BK37)</f>
        <v>12</v>
      </c>
      <c r="X37" s="181">
        <f>RANK(iScoresRounded!X37,iScoresRounded!$N37:$BK37)</f>
        <v>40</v>
      </c>
      <c r="Y37" s="181">
        <f>RANK(iScoresRounded!Y37,iScoresRounded!$N37:$BK37)</f>
        <v>24</v>
      </c>
      <c r="Z37" s="181">
        <f>RANK(iScoresRounded!Z37,iScoresRounded!$N37:$BK37)</f>
        <v>38</v>
      </c>
      <c r="AA37" s="181">
        <f>RANK(iScoresRounded!AA37,iScoresRounded!$N37:$BK37)</f>
        <v>12</v>
      </c>
      <c r="AB37" s="181">
        <f>RANK(iScoresRounded!AB37,iScoresRounded!$N37:$BK37)</f>
        <v>12</v>
      </c>
      <c r="AC37" s="181">
        <f>RANK(iScoresRounded!AC37,iScoresRounded!$N37:$BK37)</f>
        <v>2</v>
      </c>
      <c r="AD37" s="181">
        <f>RANK(iScoresRounded!AD37,iScoresRounded!$N37:$BK37)</f>
        <v>2</v>
      </c>
      <c r="AE37" s="181">
        <f>RANK(iScoresRounded!AE37,iScoresRounded!$N37:$BK37)</f>
        <v>25</v>
      </c>
      <c r="AF37" s="181">
        <f>RANK(iScoresRounded!AF37,iScoresRounded!$N37:$BK37)</f>
        <v>31</v>
      </c>
      <c r="AG37" s="181">
        <f>RANK(iScoresRounded!AG37,iScoresRounded!$N37:$BK37)</f>
        <v>31</v>
      </c>
      <c r="AH37" s="181">
        <f>RANK(iScoresRounded!AH37,iScoresRounded!$N37:$BK37)</f>
        <v>31</v>
      </c>
      <c r="AI37" s="181">
        <f>RANK(iScoresRounded!AI37,iScoresRounded!$N37:$BK37)</f>
        <v>31</v>
      </c>
      <c r="AJ37" s="181">
        <f>RANK(iScoresRounded!AJ37,iScoresRounded!$N37:$BK37)</f>
        <v>31</v>
      </c>
      <c r="AK37" s="181">
        <f>RANK(iScoresRounded!AK37,iScoresRounded!$N37:$BK37)</f>
        <v>49</v>
      </c>
      <c r="AL37" s="181">
        <f>RANK(iScoresRounded!AL37,iScoresRounded!$N37:$BK37)</f>
        <v>48</v>
      </c>
      <c r="AM37" s="181">
        <f>RANK(iScoresRounded!AM37,iScoresRounded!$N37:$BK37)</f>
        <v>46</v>
      </c>
      <c r="AN37" s="181">
        <f>RANK(iScoresRounded!AN37,iScoresRounded!$N37:$BK37)</f>
        <v>47</v>
      </c>
      <c r="AO37" s="181">
        <f>RANK(iScoresRounded!AO37,iScoresRounded!$N37:$BK37)</f>
        <v>2</v>
      </c>
      <c r="AP37" s="181">
        <f>RANK(iScoresRounded!AP37,iScoresRounded!$N37:$BK37)</f>
        <v>2</v>
      </c>
      <c r="AQ37" s="181">
        <f>RANK(iScoresRounded!AQ37,iScoresRounded!$N37:$BK37)</f>
        <v>1</v>
      </c>
      <c r="AR37" s="181">
        <f>RANK(iScoresRounded!AR37,iScoresRounded!$N37:$BK37)</f>
        <v>23</v>
      </c>
      <c r="AS37" s="181">
        <f>RANK(iScoresRounded!AS37,iScoresRounded!$N37:$BK37)</f>
        <v>40</v>
      </c>
      <c r="AT37" s="181">
        <f>RANK(iScoresRounded!AT37,iScoresRounded!$N37:$BK37)</f>
        <v>44</v>
      </c>
      <c r="AU37" s="181">
        <f>RANK(iScoresRounded!AU37,iScoresRounded!$N37:$BK37)</f>
        <v>50</v>
      </c>
      <c r="AV37" s="181">
        <f>RANK(iScoresRounded!AV37,iScoresRounded!$N37:$BK37)</f>
        <v>42</v>
      </c>
      <c r="AW37" s="181">
        <f>RANK(iScoresRounded!AW37,iScoresRounded!$N37:$BK37)</f>
        <v>39</v>
      </c>
      <c r="AX37" s="181">
        <f>RANK(iScoresRounded!AX37,iScoresRounded!$N37:$BK37)</f>
        <v>45</v>
      </c>
      <c r="AY37" s="181">
        <f>RANK(iScoresRounded!AY37,iScoresRounded!$N37:$BK37)</f>
        <v>21</v>
      </c>
      <c r="AZ37" s="181">
        <f>RANK(iScoresRounded!AZ37,iScoresRounded!$N37:$BK37)</f>
        <v>19</v>
      </c>
      <c r="BA37" s="181">
        <f>RANK(iScoresRounded!BA37,iScoresRounded!$N37:$BK37)</f>
        <v>26</v>
      </c>
      <c r="BB37" s="181">
        <f>RANK(iScoresRounded!BB37,iScoresRounded!$N37:$BK37)</f>
        <v>2</v>
      </c>
      <c r="BC37" s="181">
        <f>RANK(iScoresRounded!BC37,iScoresRounded!$N37:$BK37)</f>
        <v>11</v>
      </c>
      <c r="BD37" s="181">
        <f>RANK(iScoresRounded!BD37,iScoresRounded!$N37:$BK37)</f>
        <v>18</v>
      </c>
      <c r="BE37" s="181">
        <f>RANK(iScoresRounded!BE37,iScoresRounded!$N37:$BK37)</f>
        <v>9</v>
      </c>
      <c r="BF37" s="181">
        <f>RANK(iScoresRounded!BF37,iScoresRounded!$N37:$BK37)</f>
        <v>28</v>
      </c>
      <c r="BG37" s="181">
        <f>RANK(iScoresRounded!BG37,iScoresRounded!$N37:$BK37)</f>
        <v>7</v>
      </c>
      <c r="BH37" s="181">
        <f>RANK(iScoresRounded!BH37,iScoresRounded!$N37:$BK37)</f>
        <v>7</v>
      </c>
      <c r="BI37" s="181">
        <f>RANK(iScoresRounded!BI37,iScoresRounded!$N37:$BK37)</f>
        <v>9</v>
      </c>
      <c r="BJ37" s="181">
        <f>RANK(iScoresRounded!BJ37,iScoresRounded!$N37:$BK37)</f>
        <v>29</v>
      </c>
      <c r="BK37" s="181">
        <f>RANK(iScoresRounded!BK37,iScoresRounded!$N37:$BK37)</f>
        <v>30</v>
      </c>
    </row>
    <row r="38" s="22" customFormat="1" spans="1:63">
      <c r="A38" s="24"/>
      <c r="B38" s="24"/>
      <c r="C38" s="24"/>
      <c r="D38" s="52"/>
      <c r="E38" s="52"/>
      <c r="F38" s="52"/>
      <c r="G38" s="52"/>
      <c r="H38" s="52"/>
      <c r="I38" s="52"/>
      <c r="J38" s="52"/>
      <c r="K38" s="54"/>
      <c r="L38" s="62" t="str">
        <f>tblIndicators!Z31</f>
        <v>3.1.1) Enforcement of transport safety</v>
      </c>
      <c r="M38" s="63"/>
      <c r="N38" s="181">
        <f>RANK(iScoresRounded!N38,iScoresRounded!$N38:$BK38)</f>
        <v>27</v>
      </c>
      <c r="O38" s="181">
        <f>RANK(iScoresRounded!O38,iScoresRounded!$N38:$BK38)</f>
        <v>44</v>
      </c>
      <c r="P38" s="181">
        <f>RANK(iScoresRounded!P38,iScoresRounded!$N38:$BK38)</f>
        <v>31</v>
      </c>
      <c r="Q38" s="181">
        <f>RANK(iScoresRounded!Q38,iScoresRounded!$N38:$BK38)</f>
        <v>28</v>
      </c>
      <c r="R38" s="181">
        <f>RANK(iScoresRounded!R38,iScoresRounded!$N38:$BK38)</f>
        <v>28</v>
      </c>
      <c r="S38" s="181">
        <f>RANK(iScoresRounded!S38,iScoresRounded!$N38:$BK38)</f>
        <v>11</v>
      </c>
      <c r="T38" s="181">
        <f>RANK(iScoresRounded!T38,iScoresRounded!$N38:$BK38)</f>
        <v>11</v>
      </c>
      <c r="U38" s="181">
        <f>RANK(iScoresRounded!U38,iScoresRounded!$N38:$BK38)</f>
        <v>11</v>
      </c>
      <c r="V38" s="181">
        <f>RANK(iScoresRounded!V38,iScoresRounded!$N38:$BK38)</f>
        <v>11</v>
      </c>
      <c r="W38" s="181">
        <f>RANK(iScoresRounded!W38,iScoresRounded!$N38:$BK38)</f>
        <v>11</v>
      </c>
      <c r="X38" s="181">
        <f>RANK(iScoresRounded!X38,iScoresRounded!$N38:$BK38)</f>
        <v>36</v>
      </c>
      <c r="Y38" s="181">
        <f>RANK(iScoresRounded!Y38,iScoresRounded!$N38:$BK38)</f>
        <v>38</v>
      </c>
      <c r="Z38" s="181">
        <f>RANK(iScoresRounded!Z38,iScoresRounded!$N38:$BK38)</f>
        <v>34</v>
      </c>
      <c r="AA38" s="181">
        <f>RANK(iScoresRounded!AA38,iScoresRounded!$N38:$BK38)</f>
        <v>11</v>
      </c>
      <c r="AB38" s="181">
        <f>RANK(iScoresRounded!AB38,iScoresRounded!$N38:$BK38)</f>
        <v>11</v>
      </c>
      <c r="AC38" s="181">
        <f>RANK(iScoresRounded!AC38,iScoresRounded!$N38:$BK38)</f>
        <v>6</v>
      </c>
      <c r="AD38" s="181">
        <f>RANK(iScoresRounded!AD38,iScoresRounded!$N38:$BK38)</f>
        <v>6</v>
      </c>
      <c r="AE38" s="181">
        <f>RANK(iScoresRounded!AE38,iScoresRounded!$N38:$BK38)</f>
        <v>48</v>
      </c>
      <c r="AF38" s="181">
        <f>RANK(iScoresRounded!AF38,iScoresRounded!$N38:$BK38)</f>
        <v>38</v>
      </c>
      <c r="AG38" s="181">
        <f>RANK(iScoresRounded!AG38,iScoresRounded!$N38:$BK38)</f>
        <v>38</v>
      </c>
      <c r="AH38" s="181">
        <f>RANK(iScoresRounded!AH38,iScoresRounded!$N38:$BK38)</f>
        <v>38</v>
      </c>
      <c r="AI38" s="181">
        <f>RANK(iScoresRounded!AI38,iScoresRounded!$N38:$BK38)</f>
        <v>38</v>
      </c>
      <c r="AJ38" s="181">
        <f>RANK(iScoresRounded!AJ38,iScoresRounded!$N38:$BK38)</f>
        <v>38</v>
      </c>
      <c r="AK38" s="181">
        <f>RANK(iScoresRounded!AK38,iScoresRounded!$N38:$BK38)</f>
        <v>46</v>
      </c>
      <c r="AL38" s="181">
        <f>RANK(iScoresRounded!AL38,iScoresRounded!$N38:$BK38)</f>
        <v>46</v>
      </c>
      <c r="AM38" s="181">
        <f>RANK(iScoresRounded!AM38,iScoresRounded!$N38:$BK38)</f>
        <v>28</v>
      </c>
      <c r="AN38" s="181">
        <f>RANK(iScoresRounded!AN38,iScoresRounded!$N38:$BK38)</f>
        <v>34</v>
      </c>
      <c r="AO38" s="181">
        <f>RANK(iScoresRounded!AO38,iScoresRounded!$N38:$BK38)</f>
        <v>6</v>
      </c>
      <c r="AP38" s="181">
        <f>RANK(iScoresRounded!AP38,iScoresRounded!$N38:$BK38)</f>
        <v>6</v>
      </c>
      <c r="AQ38" s="181">
        <f>RANK(iScoresRounded!AQ38,iScoresRounded!$N38:$BK38)</f>
        <v>2</v>
      </c>
      <c r="AR38" s="181">
        <f>RANK(iScoresRounded!AR38,iScoresRounded!$N38:$BK38)</f>
        <v>18</v>
      </c>
      <c r="AS38" s="181">
        <f>RANK(iScoresRounded!AS38,iScoresRounded!$N38:$BK38)</f>
        <v>48</v>
      </c>
      <c r="AT38" s="181">
        <f>RANK(iScoresRounded!AT38,iScoresRounded!$N38:$BK38)</f>
        <v>36</v>
      </c>
      <c r="AU38" s="181">
        <f>RANK(iScoresRounded!AU38,iScoresRounded!$N38:$BK38)</f>
        <v>48</v>
      </c>
      <c r="AV38" s="181">
        <f>RANK(iScoresRounded!AV38,iScoresRounded!$N38:$BK38)</f>
        <v>44</v>
      </c>
      <c r="AW38" s="181">
        <f>RANK(iScoresRounded!AW38,iScoresRounded!$N38:$BK38)</f>
        <v>21</v>
      </c>
      <c r="AX38" s="181">
        <f>RANK(iScoresRounded!AX38,iScoresRounded!$N38:$BK38)</f>
        <v>24</v>
      </c>
      <c r="AY38" s="181">
        <f>RANK(iScoresRounded!AY38,iScoresRounded!$N38:$BK38)</f>
        <v>2</v>
      </c>
      <c r="AZ38" s="181">
        <f>RANK(iScoresRounded!AZ38,iScoresRounded!$N38:$BK38)</f>
        <v>31</v>
      </c>
      <c r="BA38" s="181">
        <f>RANK(iScoresRounded!BA38,iScoresRounded!$N38:$BK38)</f>
        <v>1</v>
      </c>
      <c r="BB38" s="181">
        <f>RANK(iScoresRounded!BB38,iScoresRounded!$N38:$BK38)</f>
        <v>6</v>
      </c>
      <c r="BC38" s="181">
        <f>RANK(iScoresRounded!BC38,iScoresRounded!$N38:$BK38)</f>
        <v>24</v>
      </c>
      <c r="BD38" s="181">
        <f>RANK(iScoresRounded!BD38,iScoresRounded!$N38:$BK38)</f>
        <v>24</v>
      </c>
      <c r="BE38" s="181">
        <f>RANK(iScoresRounded!BE38,iScoresRounded!$N38:$BK38)</f>
        <v>21</v>
      </c>
      <c r="BF38" s="181">
        <f>RANK(iScoresRounded!BF38,iScoresRounded!$N38:$BK38)</f>
        <v>31</v>
      </c>
      <c r="BG38" s="181">
        <f>RANK(iScoresRounded!BG38,iScoresRounded!$N38:$BK38)</f>
        <v>18</v>
      </c>
      <c r="BH38" s="181">
        <f>RANK(iScoresRounded!BH38,iScoresRounded!$N38:$BK38)</f>
        <v>18</v>
      </c>
      <c r="BI38" s="181">
        <f>RANK(iScoresRounded!BI38,iScoresRounded!$N38:$BK38)</f>
        <v>21</v>
      </c>
      <c r="BJ38" s="181">
        <f>RANK(iScoresRounded!BJ38,iScoresRounded!$N38:$BK38)</f>
        <v>4</v>
      </c>
      <c r="BK38" s="181">
        <f>RANK(iScoresRounded!BK38,iScoresRounded!$N38:$BK38)</f>
        <v>5</v>
      </c>
    </row>
    <row r="39" s="22" customFormat="1" spans="1:63">
      <c r="A39" s="24"/>
      <c r="B39" s="24"/>
      <c r="C39" s="24"/>
      <c r="D39" s="52"/>
      <c r="E39" s="52"/>
      <c r="F39" s="52"/>
      <c r="G39" s="52"/>
      <c r="H39" s="52"/>
      <c r="I39" s="52"/>
      <c r="J39" s="52"/>
      <c r="K39" s="54"/>
      <c r="L39" s="62" t="str">
        <f>tblIndicators!Z32</f>
        <v>3.1.2) Pedestrian friendliness</v>
      </c>
      <c r="M39" s="63"/>
      <c r="N39" s="181">
        <f>RANK(iScoresRounded!N39,iScoresRounded!$N39:$BK39)</f>
        <v>1</v>
      </c>
      <c r="O39" s="181">
        <f>RANK(iScoresRounded!O39,iScoresRounded!$N39:$BK39)</f>
        <v>1</v>
      </c>
      <c r="P39" s="181">
        <f>RANK(iScoresRounded!P39,iScoresRounded!$N39:$BK39)</f>
        <v>1</v>
      </c>
      <c r="Q39" s="181">
        <f>RANK(iScoresRounded!Q39,iScoresRounded!$N39:$BK39)</f>
        <v>1</v>
      </c>
      <c r="R39" s="181">
        <f>RANK(iScoresRounded!R39,iScoresRounded!$N39:$BK39)</f>
        <v>1</v>
      </c>
      <c r="S39" s="181">
        <f>RANK(iScoresRounded!S39,iScoresRounded!$N39:$BK39)</f>
        <v>1</v>
      </c>
      <c r="T39" s="181">
        <f>RANK(iScoresRounded!T39,iScoresRounded!$N39:$BK39)</f>
        <v>1</v>
      </c>
      <c r="U39" s="181">
        <f>RANK(iScoresRounded!U39,iScoresRounded!$N39:$BK39)</f>
        <v>1</v>
      </c>
      <c r="V39" s="181">
        <f>RANK(iScoresRounded!V39,iScoresRounded!$N39:$BK39)</f>
        <v>1</v>
      </c>
      <c r="W39" s="181">
        <f>RANK(iScoresRounded!W39,iScoresRounded!$N39:$BK39)</f>
        <v>1</v>
      </c>
      <c r="X39" s="181">
        <f>RANK(iScoresRounded!X39,iScoresRounded!$N39:$BK39)</f>
        <v>1</v>
      </c>
      <c r="Y39" s="181">
        <f>RANK(iScoresRounded!Y39,iScoresRounded!$N39:$BK39)</f>
        <v>1</v>
      </c>
      <c r="Z39" s="181">
        <f>RANK(iScoresRounded!Z39,iScoresRounded!$N39:$BK39)</f>
        <v>43</v>
      </c>
      <c r="AA39" s="181">
        <f>RANK(iScoresRounded!AA39,iScoresRounded!$N39:$BK39)</f>
        <v>1</v>
      </c>
      <c r="AB39" s="181">
        <f>RANK(iScoresRounded!AB39,iScoresRounded!$N39:$BK39)</f>
        <v>1</v>
      </c>
      <c r="AC39" s="181">
        <f>RANK(iScoresRounded!AC39,iScoresRounded!$N39:$BK39)</f>
        <v>1</v>
      </c>
      <c r="AD39" s="181">
        <f>RANK(iScoresRounded!AD39,iScoresRounded!$N39:$BK39)</f>
        <v>1</v>
      </c>
      <c r="AE39" s="181">
        <f>RANK(iScoresRounded!AE39,iScoresRounded!$N39:$BK39)</f>
        <v>1</v>
      </c>
      <c r="AF39" s="181">
        <f>RANK(iScoresRounded!AF39,iScoresRounded!$N39:$BK39)</f>
        <v>1</v>
      </c>
      <c r="AG39" s="181">
        <f>RANK(iScoresRounded!AG39,iScoresRounded!$N39:$BK39)</f>
        <v>1</v>
      </c>
      <c r="AH39" s="181">
        <f>RANK(iScoresRounded!AH39,iScoresRounded!$N39:$BK39)</f>
        <v>1</v>
      </c>
      <c r="AI39" s="181">
        <f>RANK(iScoresRounded!AI39,iScoresRounded!$N39:$BK39)</f>
        <v>1</v>
      </c>
      <c r="AJ39" s="181">
        <f>RANK(iScoresRounded!AJ39,iScoresRounded!$N39:$BK39)</f>
        <v>1</v>
      </c>
      <c r="AK39" s="181">
        <f>RANK(iScoresRounded!AK39,iScoresRounded!$N39:$BK39)</f>
        <v>39</v>
      </c>
      <c r="AL39" s="181">
        <f>RANK(iScoresRounded!AL39,iScoresRounded!$N39:$BK39)</f>
        <v>39</v>
      </c>
      <c r="AM39" s="181">
        <f>RANK(iScoresRounded!AM39,iScoresRounded!$N39:$BK39)</f>
        <v>39</v>
      </c>
      <c r="AN39" s="181">
        <f>RANK(iScoresRounded!AN39,iScoresRounded!$N39:$BK39)</f>
        <v>39</v>
      </c>
      <c r="AO39" s="181">
        <f>RANK(iScoresRounded!AO39,iScoresRounded!$N39:$BK39)</f>
        <v>1</v>
      </c>
      <c r="AP39" s="181">
        <f>RANK(iScoresRounded!AP39,iScoresRounded!$N39:$BK39)</f>
        <v>1</v>
      </c>
      <c r="AQ39" s="181">
        <f>RANK(iScoresRounded!AQ39,iScoresRounded!$N39:$BK39)</f>
        <v>1</v>
      </c>
      <c r="AR39" s="181">
        <f>RANK(iScoresRounded!AR39,iScoresRounded!$N39:$BK39)</f>
        <v>1</v>
      </c>
      <c r="AS39" s="181">
        <f>RANK(iScoresRounded!AS39,iScoresRounded!$N39:$BK39)</f>
        <v>1</v>
      </c>
      <c r="AT39" s="181">
        <f>RANK(iScoresRounded!AT39,iScoresRounded!$N39:$BK39)</f>
        <v>43</v>
      </c>
      <c r="AU39" s="181">
        <f>RANK(iScoresRounded!AU39,iScoresRounded!$N39:$BK39)</f>
        <v>43</v>
      </c>
      <c r="AV39" s="181">
        <f>RANK(iScoresRounded!AV39,iScoresRounded!$N39:$BK39)</f>
        <v>43</v>
      </c>
      <c r="AW39" s="181">
        <f>RANK(iScoresRounded!AW39,iScoresRounded!$N39:$BK39)</f>
        <v>43</v>
      </c>
      <c r="AX39" s="181">
        <f>RANK(iScoresRounded!AX39,iScoresRounded!$N39:$BK39)</f>
        <v>43</v>
      </c>
      <c r="AY39" s="181">
        <f>RANK(iScoresRounded!AY39,iScoresRounded!$N39:$BK39)</f>
        <v>1</v>
      </c>
      <c r="AZ39" s="181">
        <f>RANK(iScoresRounded!AZ39,iScoresRounded!$N39:$BK39)</f>
        <v>1</v>
      </c>
      <c r="BA39" s="181">
        <f>RANK(iScoresRounded!BA39,iScoresRounded!$N39:$BK39)</f>
        <v>43</v>
      </c>
      <c r="BB39" s="181">
        <f>RANK(iScoresRounded!BB39,iScoresRounded!$N39:$BK39)</f>
        <v>1</v>
      </c>
      <c r="BC39" s="181">
        <f>RANK(iScoresRounded!BC39,iScoresRounded!$N39:$BK39)</f>
        <v>1</v>
      </c>
      <c r="BD39" s="181">
        <f>RANK(iScoresRounded!BD39,iScoresRounded!$N39:$BK39)</f>
        <v>1</v>
      </c>
      <c r="BE39" s="181">
        <f>RANK(iScoresRounded!BE39,iScoresRounded!$N39:$BK39)</f>
        <v>1</v>
      </c>
      <c r="BF39" s="181">
        <f>RANK(iScoresRounded!BF39,iScoresRounded!$N39:$BK39)</f>
        <v>1</v>
      </c>
      <c r="BG39" s="181">
        <f>RANK(iScoresRounded!BG39,iScoresRounded!$N39:$BK39)</f>
        <v>1</v>
      </c>
      <c r="BH39" s="181">
        <f>RANK(iScoresRounded!BH39,iScoresRounded!$N39:$BK39)</f>
        <v>1</v>
      </c>
      <c r="BI39" s="181">
        <f>RANK(iScoresRounded!BI39,iScoresRounded!$N39:$BK39)</f>
        <v>1</v>
      </c>
      <c r="BJ39" s="181">
        <f>RANK(iScoresRounded!BJ39,iScoresRounded!$N39:$BK39)</f>
        <v>1</v>
      </c>
      <c r="BK39" s="181">
        <f>RANK(iScoresRounded!BK39,iScoresRounded!$N39:$BK39)</f>
        <v>43</v>
      </c>
    </row>
    <row r="40" s="22" customFormat="1" spans="1:63">
      <c r="A40" s="24"/>
      <c r="B40" s="24"/>
      <c r="C40" s="24"/>
      <c r="D40" s="52"/>
      <c r="E40" s="52"/>
      <c r="F40" s="52"/>
      <c r="G40" s="52"/>
      <c r="H40" s="52"/>
      <c r="I40" s="52"/>
      <c r="J40" s="52"/>
      <c r="K40" s="54"/>
      <c r="L40" s="62" t="str">
        <f>tblIndicators!Z33</f>
        <v>3.1.3) Quality of road infrastructure</v>
      </c>
      <c r="M40" s="63"/>
      <c r="N40" s="181">
        <f>RANK(iScoresRounded!N40,iScoresRounded!$N40:$BK40)</f>
        <v>47</v>
      </c>
      <c r="O40" s="181">
        <f>RANK(iScoresRounded!O40,iScoresRounded!$N40:$BK40)</f>
        <v>39</v>
      </c>
      <c r="P40" s="181">
        <f>RANK(iScoresRounded!P40,iScoresRounded!$N40:$BK40)</f>
        <v>14</v>
      </c>
      <c r="Q40" s="181">
        <f>RANK(iScoresRounded!Q40,iScoresRounded!$N40:$BK40)</f>
        <v>14</v>
      </c>
      <c r="R40" s="181">
        <f>RANK(iScoresRounded!R40,iScoresRounded!$N40:$BK40)</f>
        <v>39</v>
      </c>
      <c r="S40" s="181">
        <f>RANK(iScoresRounded!S40,iScoresRounded!$N40:$BK40)</f>
        <v>14</v>
      </c>
      <c r="T40" s="181">
        <f>RANK(iScoresRounded!T40,iScoresRounded!$N40:$BK40)</f>
        <v>14</v>
      </c>
      <c r="U40" s="181">
        <f>RANK(iScoresRounded!U40,iScoresRounded!$N40:$BK40)</f>
        <v>14</v>
      </c>
      <c r="V40" s="181">
        <f>RANK(iScoresRounded!V40,iScoresRounded!$N40:$BK40)</f>
        <v>14</v>
      </c>
      <c r="W40" s="181">
        <f>RANK(iScoresRounded!W40,iScoresRounded!$N40:$BK40)</f>
        <v>14</v>
      </c>
      <c r="X40" s="181">
        <f>RANK(iScoresRounded!X40,iScoresRounded!$N40:$BK40)</f>
        <v>39</v>
      </c>
      <c r="Y40" s="181">
        <f>RANK(iScoresRounded!Y40,iScoresRounded!$N40:$BK40)</f>
        <v>14</v>
      </c>
      <c r="Z40" s="181">
        <f>RANK(iScoresRounded!Z40,iScoresRounded!$N40:$BK40)</f>
        <v>14</v>
      </c>
      <c r="AA40" s="181">
        <f>RANK(iScoresRounded!AA40,iScoresRounded!$N40:$BK40)</f>
        <v>14</v>
      </c>
      <c r="AB40" s="181">
        <f>RANK(iScoresRounded!AB40,iScoresRounded!$N40:$BK40)</f>
        <v>14</v>
      </c>
      <c r="AC40" s="181">
        <f>RANK(iScoresRounded!AC40,iScoresRounded!$N40:$BK40)</f>
        <v>1</v>
      </c>
      <c r="AD40" s="181">
        <f>RANK(iScoresRounded!AD40,iScoresRounded!$N40:$BK40)</f>
        <v>1</v>
      </c>
      <c r="AE40" s="181">
        <f>RANK(iScoresRounded!AE40,iScoresRounded!$N40:$BK40)</f>
        <v>1</v>
      </c>
      <c r="AF40" s="181">
        <f>RANK(iScoresRounded!AF40,iScoresRounded!$N40:$BK40)</f>
        <v>14</v>
      </c>
      <c r="AG40" s="181">
        <f>RANK(iScoresRounded!AG40,iScoresRounded!$N40:$BK40)</f>
        <v>14</v>
      </c>
      <c r="AH40" s="181">
        <f>RANK(iScoresRounded!AH40,iScoresRounded!$N40:$BK40)</f>
        <v>14</v>
      </c>
      <c r="AI40" s="181">
        <f>RANK(iScoresRounded!AI40,iScoresRounded!$N40:$BK40)</f>
        <v>14</v>
      </c>
      <c r="AJ40" s="181">
        <f>RANK(iScoresRounded!AJ40,iScoresRounded!$N40:$BK40)</f>
        <v>14</v>
      </c>
      <c r="AK40" s="181">
        <f>RANK(iScoresRounded!AK40,iScoresRounded!$N40:$BK40)</f>
        <v>50</v>
      </c>
      <c r="AL40" s="181">
        <f>RANK(iScoresRounded!AL40,iScoresRounded!$N40:$BK40)</f>
        <v>39</v>
      </c>
      <c r="AM40" s="181">
        <f>RANK(iScoresRounded!AM40,iScoresRounded!$N40:$BK40)</f>
        <v>39</v>
      </c>
      <c r="AN40" s="181">
        <f>RANK(iScoresRounded!AN40,iScoresRounded!$N40:$BK40)</f>
        <v>39</v>
      </c>
      <c r="AO40" s="181">
        <f>RANK(iScoresRounded!AO40,iScoresRounded!$N40:$BK40)</f>
        <v>1</v>
      </c>
      <c r="AP40" s="181">
        <f>RANK(iScoresRounded!AP40,iScoresRounded!$N40:$BK40)</f>
        <v>1</v>
      </c>
      <c r="AQ40" s="181">
        <f>RANK(iScoresRounded!AQ40,iScoresRounded!$N40:$BK40)</f>
        <v>1</v>
      </c>
      <c r="AR40" s="181">
        <f>RANK(iScoresRounded!AR40,iScoresRounded!$N40:$BK40)</f>
        <v>14</v>
      </c>
      <c r="AS40" s="181">
        <f>RANK(iScoresRounded!AS40,iScoresRounded!$N40:$BK40)</f>
        <v>14</v>
      </c>
      <c r="AT40" s="181">
        <f>RANK(iScoresRounded!AT40,iScoresRounded!$N40:$BK40)</f>
        <v>47</v>
      </c>
      <c r="AU40" s="181">
        <f>RANK(iScoresRounded!AU40,iScoresRounded!$N40:$BK40)</f>
        <v>47</v>
      </c>
      <c r="AV40" s="181">
        <f>RANK(iScoresRounded!AV40,iScoresRounded!$N40:$BK40)</f>
        <v>14</v>
      </c>
      <c r="AW40" s="181">
        <f>RANK(iScoresRounded!AW40,iScoresRounded!$N40:$BK40)</f>
        <v>14</v>
      </c>
      <c r="AX40" s="181">
        <f>RANK(iScoresRounded!AX40,iScoresRounded!$N40:$BK40)</f>
        <v>39</v>
      </c>
      <c r="AY40" s="181">
        <f>RANK(iScoresRounded!AY40,iScoresRounded!$N40:$BK40)</f>
        <v>1</v>
      </c>
      <c r="AZ40" s="181">
        <f>RANK(iScoresRounded!AZ40,iScoresRounded!$N40:$BK40)</f>
        <v>14</v>
      </c>
      <c r="BA40" s="181">
        <f>RANK(iScoresRounded!BA40,iScoresRounded!$N40:$BK40)</f>
        <v>14</v>
      </c>
      <c r="BB40" s="181">
        <f>RANK(iScoresRounded!BB40,iScoresRounded!$N40:$BK40)</f>
        <v>1</v>
      </c>
      <c r="BC40" s="181">
        <f>RANK(iScoresRounded!BC40,iScoresRounded!$N40:$BK40)</f>
        <v>1</v>
      </c>
      <c r="BD40" s="181">
        <f>RANK(iScoresRounded!BD40,iScoresRounded!$N40:$BK40)</f>
        <v>14</v>
      </c>
      <c r="BE40" s="181">
        <f>RANK(iScoresRounded!BE40,iScoresRounded!$N40:$BK40)</f>
        <v>1</v>
      </c>
      <c r="BF40" s="181">
        <f>RANK(iScoresRounded!BF40,iScoresRounded!$N40:$BK40)</f>
        <v>14</v>
      </c>
      <c r="BG40" s="181">
        <f>RANK(iScoresRounded!BG40,iScoresRounded!$N40:$BK40)</f>
        <v>1</v>
      </c>
      <c r="BH40" s="181">
        <f>RANK(iScoresRounded!BH40,iScoresRounded!$N40:$BK40)</f>
        <v>1</v>
      </c>
      <c r="BI40" s="181">
        <f>RANK(iScoresRounded!BI40,iScoresRounded!$N40:$BK40)</f>
        <v>1</v>
      </c>
      <c r="BJ40" s="181">
        <f>RANK(iScoresRounded!BJ40,iScoresRounded!$N40:$BK40)</f>
        <v>39</v>
      </c>
      <c r="BK40" s="181">
        <f>RANK(iScoresRounded!BK40,iScoresRounded!$N40:$BK40)</f>
        <v>14</v>
      </c>
    </row>
    <row r="41" s="22" customFormat="1" spans="1:63">
      <c r="A41" s="24"/>
      <c r="B41" s="24"/>
      <c r="C41" s="24"/>
      <c r="D41" s="52"/>
      <c r="E41" s="52"/>
      <c r="F41" s="52"/>
      <c r="G41" s="52"/>
      <c r="H41" s="52"/>
      <c r="I41" s="52"/>
      <c r="J41" s="52"/>
      <c r="K41" s="54"/>
      <c r="L41" s="62" t="str">
        <f>tblIndicators!Z34</f>
        <v>3.1.4) Quality of electricity infrastructure</v>
      </c>
      <c r="M41" s="63"/>
      <c r="N41" s="181">
        <f>RANK(iScoresRounded!N41,iScoresRounded!$N41:$BK41)</f>
        <v>36</v>
      </c>
      <c r="O41" s="181">
        <f>RANK(iScoresRounded!O41,iScoresRounded!$N41:$BK41)</f>
        <v>45</v>
      </c>
      <c r="P41" s="181">
        <f>RANK(iScoresRounded!P41,iScoresRounded!$N41:$BK41)</f>
        <v>1</v>
      </c>
      <c r="Q41" s="181">
        <f>RANK(iScoresRounded!Q41,iScoresRounded!$N41:$BK41)</f>
        <v>36</v>
      </c>
      <c r="R41" s="181">
        <f>RANK(iScoresRounded!R41,iScoresRounded!$N41:$BK41)</f>
        <v>1</v>
      </c>
      <c r="S41" s="181">
        <f>RANK(iScoresRounded!S41,iScoresRounded!$N41:$BK41)</f>
        <v>1</v>
      </c>
      <c r="T41" s="181">
        <f>RANK(iScoresRounded!T41,iScoresRounded!$N41:$BK41)</f>
        <v>1</v>
      </c>
      <c r="U41" s="181">
        <f>RANK(iScoresRounded!U41,iScoresRounded!$N41:$BK41)</f>
        <v>1</v>
      </c>
      <c r="V41" s="181">
        <f>RANK(iScoresRounded!V41,iScoresRounded!$N41:$BK41)</f>
        <v>1</v>
      </c>
      <c r="W41" s="181">
        <f>RANK(iScoresRounded!W41,iScoresRounded!$N41:$BK41)</f>
        <v>1</v>
      </c>
      <c r="X41" s="181">
        <f>RANK(iScoresRounded!X41,iScoresRounded!$N41:$BK41)</f>
        <v>45</v>
      </c>
      <c r="Y41" s="181">
        <f>RANK(iScoresRounded!Y41,iScoresRounded!$N41:$BK41)</f>
        <v>1</v>
      </c>
      <c r="Z41" s="181">
        <f>RANK(iScoresRounded!Z41,iScoresRounded!$N41:$BK41)</f>
        <v>1</v>
      </c>
      <c r="AA41" s="181">
        <f>RANK(iScoresRounded!AA41,iScoresRounded!$N41:$BK41)</f>
        <v>1</v>
      </c>
      <c r="AB41" s="181">
        <f>RANK(iScoresRounded!AB41,iScoresRounded!$N41:$BK41)</f>
        <v>1</v>
      </c>
      <c r="AC41" s="181">
        <f>RANK(iScoresRounded!AC41,iScoresRounded!$N41:$BK41)</f>
        <v>1</v>
      </c>
      <c r="AD41" s="181">
        <f>RANK(iScoresRounded!AD41,iScoresRounded!$N41:$BK41)</f>
        <v>1</v>
      </c>
      <c r="AE41" s="181">
        <f>RANK(iScoresRounded!AE41,iScoresRounded!$N41:$BK41)</f>
        <v>1</v>
      </c>
      <c r="AF41" s="181">
        <f>RANK(iScoresRounded!AF41,iScoresRounded!$N41:$BK41)</f>
        <v>1</v>
      </c>
      <c r="AG41" s="181">
        <f>RANK(iScoresRounded!AG41,iScoresRounded!$N41:$BK41)</f>
        <v>1</v>
      </c>
      <c r="AH41" s="181">
        <f>RANK(iScoresRounded!AH41,iScoresRounded!$N41:$BK41)</f>
        <v>1</v>
      </c>
      <c r="AI41" s="181">
        <f>RANK(iScoresRounded!AI41,iScoresRounded!$N41:$BK41)</f>
        <v>36</v>
      </c>
      <c r="AJ41" s="181">
        <f>RANK(iScoresRounded!AJ41,iScoresRounded!$N41:$BK41)</f>
        <v>1</v>
      </c>
      <c r="AK41" s="181">
        <f>RANK(iScoresRounded!AK41,iScoresRounded!$N41:$BK41)</f>
        <v>36</v>
      </c>
      <c r="AL41" s="181">
        <f>RANK(iScoresRounded!AL41,iScoresRounded!$N41:$BK41)</f>
        <v>45</v>
      </c>
      <c r="AM41" s="181">
        <f>RANK(iScoresRounded!AM41,iScoresRounded!$N41:$BK41)</f>
        <v>45</v>
      </c>
      <c r="AN41" s="181">
        <f>RANK(iScoresRounded!AN41,iScoresRounded!$N41:$BK41)</f>
        <v>50</v>
      </c>
      <c r="AO41" s="181">
        <f>RANK(iScoresRounded!AO41,iScoresRounded!$N41:$BK41)</f>
        <v>1</v>
      </c>
      <c r="AP41" s="181">
        <f>RANK(iScoresRounded!AP41,iScoresRounded!$N41:$BK41)</f>
        <v>1</v>
      </c>
      <c r="AQ41" s="181">
        <f>RANK(iScoresRounded!AQ41,iScoresRounded!$N41:$BK41)</f>
        <v>1</v>
      </c>
      <c r="AR41" s="181">
        <f>RANK(iScoresRounded!AR41,iScoresRounded!$N41:$BK41)</f>
        <v>1</v>
      </c>
      <c r="AS41" s="181">
        <f>RANK(iScoresRounded!AS41,iScoresRounded!$N41:$BK41)</f>
        <v>36</v>
      </c>
      <c r="AT41" s="181">
        <f>RANK(iScoresRounded!AT41,iScoresRounded!$N41:$BK41)</f>
        <v>1</v>
      </c>
      <c r="AU41" s="181">
        <f>RANK(iScoresRounded!AU41,iScoresRounded!$N41:$BK41)</f>
        <v>45</v>
      </c>
      <c r="AV41" s="181">
        <f>RANK(iScoresRounded!AV41,iScoresRounded!$N41:$BK41)</f>
        <v>1</v>
      </c>
      <c r="AW41" s="181">
        <f>RANK(iScoresRounded!AW41,iScoresRounded!$N41:$BK41)</f>
        <v>36</v>
      </c>
      <c r="AX41" s="181">
        <f>RANK(iScoresRounded!AX41,iScoresRounded!$N41:$BK41)</f>
        <v>36</v>
      </c>
      <c r="AY41" s="181">
        <f>RANK(iScoresRounded!AY41,iScoresRounded!$N41:$BK41)</f>
        <v>36</v>
      </c>
      <c r="AZ41" s="181">
        <f>RANK(iScoresRounded!AZ41,iScoresRounded!$N41:$BK41)</f>
        <v>1</v>
      </c>
      <c r="BA41" s="181">
        <f>RANK(iScoresRounded!BA41,iScoresRounded!$N41:$BK41)</f>
        <v>1</v>
      </c>
      <c r="BB41" s="181">
        <f>RANK(iScoresRounded!BB41,iScoresRounded!$N41:$BK41)</f>
        <v>1</v>
      </c>
      <c r="BC41" s="181">
        <f>RANK(iScoresRounded!BC41,iScoresRounded!$N41:$BK41)</f>
        <v>1</v>
      </c>
      <c r="BD41" s="181">
        <f>RANK(iScoresRounded!BD41,iScoresRounded!$N41:$BK41)</f>
        <v>1</v>
      </c>
      <c r="BE41" s="181">
        <f>RANK(iScoresRounded!BE41,iScoresRounded!$N41:$BK41)</f>
        <v>1</v>
      </c>
      <c r="BF41" s="181">
        <f>RANK(iScoresRounded!BF41,iScoresRounded!$N41:$BK41)</f>
        <v>1</v>
      </c>
      <c r="BG41" s="181">
        <f>RANK(iScoresRounded!BG41,iScoresRounded!$N41:$BK41)</f>
        <v>1</v>
      </c>
      <c r="BH41" s="181">
        <f>RANK(iScoresRounded!BH41,iScoresRounded!$N41:$BK41)</f>
        <v>1</v>
      </c>
      <c r="BI41" s="181">
        <f>RANK(iScoresRounded!BI41,iScoresRounded!$N41:$BK41)</f>
        <v>1</v>
      </c>
      <c r="BJ41" s="181">
        <f>RANK(iScoresRounded!BJ41,iScoresRounded!$N41:$BK41)</f>
        <v>36</v>
      </c>
      <c r="BK41" s="181">
        <f>RANK(iScoresRounded!BK41,iScoresRounded!$N41:$BK41)</f>
        <v>1</v>
      </c>
    </row>
    <row r="42" s="22" customFormat="1" spans="1:63">
      <c r="A42" s="24"/>
      <c r="B42" s="24"/>
      <c r="C42" s="24"/>
      <c r="D42" s="52"/>
      <c r="E42" s="52"/>
      <c r="F42" s="52"/>
      <c r="G42" s="52"/>
      <c r="H42" s="52"/>
      <c r="I42" s="52"/>
      <c r="J42" s="52"/>
      <c r="K42" s="54"/>
      <c r="L42" s="62" t="str">
        <f>tblIndicators!Z35</f>
        <v>3.1.5) Disaster Management/Business Continuity Plan</v>
      </c>
      <c r="M42" s="63"/>
      <c r="N42" s="181">
        <f>RANK(iScoresRounded!N42,iScoresRounded!$N42:$BK42)</f>
        <v>1</v>
      </c>
      <c r="O42" s="181">
        <f>RANK(iScoresRounded!O42,iScoresRounded!$N42:$BK42)</f>
        <v>38</v>
      </c>
      <c r="P42" s="181">
        <f>RANK(iScoresRounded!P42,iScoresRounded!$N42:$BK42)</f>
        <v>1</v>
      </c>
      <c r="Q42" s="181">
        <f>RANK(iScoresRounded!Q42,iScoresRounded!$N42:$BK42)</f>
        <v>28</v>
      </c>
      <c r="R42" s="181">
        <f>RANK(iScoresRounded!R42,iScoresRounded!$N42:$BK42)</f>
        <v>38</v>
      </c>
      <c r="S42" s="181">
        <f>RANK(iScoresRounded!S42,iScoresRounded!$N42:$BK42)</f>
        <v>28</v>
      </c>
      <c r="T42" s="181">
        <f>RANK(iScoresRounded!T42,iScoresRounded!$N42:$BK42)</f>
        <v>1</v>
      </c>
      <c r="U42" s="181">
        <f>RANK(iScoresRounded!U42,iScoresRounded!$N42:$BK42)</f>
        <v>1</v>
      </c>
      <c r="V42" s="181">
        <f>RANK(iScoresRounded!V42,iScoresRounded!$N42:$BK42)</f>
        <v>1</v>
      </c>
      <c r="W42" s="181">
        <f>RANK(iScoresRounded!W42,iScoresRounded!$N42:$BK42)</f>
        <v>1</v>
      </c>
      <c r="X42" s="181">
        <f>RANK(iScoresRounded!X42,iScoresRounded!$N42:$BK42)</f>
        <v>28</v>
      </c>
      <c r="Y42" s="181">
        <f>RANK(iScoresRounded!Y42,iScoresRounded!$N42:$BK42)</f>
        <v>1</v>
      </c>
      <c r="Z42" s="181">
        <f>RANK(iScoresRounded!Z42,iScoresRounded!$N42:$BK42)</f>
        <v>1</v>
      </c>
      <c r="AA42" s="181">
        <f>RANK(iScoresRounded!AA42,iScoresRounded!$N42:$BK42)</f>
        <v>1</v>
      </c>
      <c r="AB42" s="181">
        <f>RANK(iScoresRounded!AB42,iScoresRounded!$N42:$BK42)</f>
        <v>1</v>
      </c>
      <c r="AC42" s="181">
        <f>RANK(iScoresRounded!AC42,iScoresRounded!$N42:$BK42)</f>
        <v>1</v>
      </c>
      <c r="AD42" s="181">
        <f>RANK(iScoresRounded!AD42,iScoresRounded!$N42:$BK42)</f>
        <v>1</v>
      </c>
      <c r="AE42" s="181">
        <f>RANK(iScoresRounded!AE42,iScoresRounded!$N42:$BK42)</f>
        <v>1</v>
      </c>
      <c r="AF42" s="181">
        <f>RANK(iScoresRounded!AF42,iScoresRounded!$N42:$BK42)</f>
        <v>38</v>
      </c>
      <c r="AG42" s="181">
        <f>RANK(iScoresRounded!AG42,iScoresRounded!$N42:$BK42)</f>
        <v>38</v>
      </c>
      <c r="AH42" s="181">
        <f>RANK(iScoresRounded!AH42,iScoresRounded!$N42:$BK42)</f>
        <v>38</v>
      </c>
      <c r="AI42" s="181">
        <f>RANK(iScoresRounded!AI42,iScoresRounded!$N42:$BK42)</f>
        <v>28</v>
      </c>
      <c r="AJ42" s="181">
        <f>RANK(iScoresRounded!AJ42,iScoresRounded!$N42:$BK42)</f>
        <v>38</v>
      </c>
      <c r="AK42" s="181">
        <f>RANK(iScoresRounded!AK42,iScoresRounded!$N42:$BK42)</f>
        <v>49</v>
      </c>
      <c r="AL42" s="181">
        <f>RANK(iScoresRounded!AL42,iScoresRounded!$N42:$BK42)</f>
        <v>49</v>
      </c>
      <c r="AM42" s="181">
        <f>RANK(iScoresRounded!AM42,iScoresRounded!$N42:$BK42)</f>
        <v>38</v>
      </c>
      <c r="AN42" s="181">
        <f>RANK(iScoresRounded!AN42,iScoresRounded!$N42:$BK42)</f>
        <v>38</v>
      </c>
      <c r="AO42" s="181">
        <f>RANK(iScoresRounded!AO42,iScoresRounded!$N42:$BK42)</f>
        <v>1</v>
      </c>
      <c r="AP42" s="181">
        <f>RANK(iScoresRounded!AP42,iScoresRounded!$N42:$BK42)</f>
        <v>1</v>
      </c>
      <c r="AQ42" s="181">
        <f>RANK(iScoresRounded!AQ42,iScoresRounded!$N42:$BK42)</f>
        <v>1</v>
      </c>
      <c r="AR42" s="181">
        <f>RANK(iScoresRounded!AR42,iScoresRounded!$N42:$BK42)</f>
        <v>28</v>
      </c>
      <c r="AS42" s="181">
        <f>RANK(iScoresRounded!AS42,iScoresRounded!$N42:$BK42)</f>
        <v>28</v>
      </c>
      <c r="AT42" s="181">
        <f>RANK(iScoresRounded!AT42,iScoresRounded!$N42:$BK42)</f>
        <v>28</v>
      </c>
      <c r="AU42" s="181">
        <f>RANK(iScoresRounded!AU42,iScoresRounded!$N42:$BK42)</f>
        <v>38</v>
      </c>
      <c r="AV42" s="181">
        <f>RANK(iScoresRounded!AV42,iScoresRounded!$N42:$BK42)</f>
        <v>28</v>
      </c>
      <c r="AW42" s="181">
        <f>RANK(iScoresRounded!AW42,iScoresRounded!$N42:$BK42)</f>
        <v>1</v>
      </c>
      <c r="AX42" s="181">
        <f>RANK(iScoresRounded!AX42,iScoresRounded!$N42:$BK42)</f>
        <v>38</v>
      </c>
      <c r="AY42" s="181">
        <f>RANK(iScoresRounded!AY42,iScoresRounded!$N42:$BK42)</f>
        <v>28</v>
      </c>
      <c r="AZ42" s="181">
        <f>RANK(iScoresRounded!AZ42,iScoresRounded!$N42:$BK42)</f>
        <v>1</v>
      </c>
      <c r="BA42" s="181">
        <f>RANK(iScoresRounded!BA42,iScoresRounded!$N42:$BK42)</f>
        <v>1</v>
      </c>
      <c r="BB42" s="181">
        <f>RANK(iScoresRounded!BB42,iScoresRounded!$N42:$BK42)</f>
        <v>1</v>
      </c>
      <c r="BC42" s="181">
        <f>RANK(iScoresRounded!BC42,iScoresRounded!$N42:$BK42)</f>
        <v>1</v>
      </c>
      <c r="BD42" s="181">
        <f>RANK(iScoresRounded!BD42,iScoresRounded!$N42:$BK42)</f>
        <v>1</v>
      </c>
      <c r="BE42" s="181">
        <f>RANK(iScoresRounded!BE42,iScoresRounded!$N42:$BK42)</f>
        <v>1</v>
      </c>
      <c r="BF42" s="181">
        <f>RANK(iScoresRounded!BF42,iScoresRounded!$N42:$BK42)</f>
        <v>38</v>
      </c>
      <c r="BG42" s="181">
        <f>RANK(iScoresRounded!BG42,iScoresRounded!$N42:$BK42)</f>
        <v>1</v>
      </c>
      <c r="BH42" s="181">
        <f>RANK(iScoresRounded!BH42,iScoresRounded!$N42:$BK42)</f>
        <v>1</v>
      </c>
      <c r="BI42" s="181">
        <f>RANK(iScoresRounded!BI42,iScoresRounded!$N42:$BK42)</f>
        <v>1</v>
      </c>
      <c r="BJ42" s="181">
        <f>RANK(iScoresRounded!BJ42,iScoresRounded!$N42:$BK42)</f>
        <v>28</v>
      </c>
      <c r="BK42" s="181">
        <f>RANK(iScoresRounded!BK42,iScoresRounded!$N42:$BK42)</f>
        <v>1</v>
      </c>
    </row>
    <row r="43" s="22" customFormat="1" spans="1:63">
      <c r="A43" s="24"/>
      <c r="B43" s="24"/>
      <c r="C43" s="24"/>
      <c r="D43" s="52"/>
      <c r="E43" s="52"/>
      <c r="F43" s="52"/>
      <c r="G43" s="52"/>
      <c r="H43" s="52"/>
      <c r="I43" s="52"/>
      <c r="J43" s="52"/>
      <c r="K43" s="54"/>
      <c r="L43" s="62" t="str">
        <f>tblIndicators!Z36</f>
        <v>3.2) Infrastructure Safety (Outputs)</v>
      </c>
      <c r="M43" s="63"/>
      <c r="N43" s="181">
        <f>RANK(iScoresRounded!N43,iScoresRounded!$N43:$BK43)</f>
        <v>2</v>
      </c>
      <c r="O43" s="181">
        <f>RANK(iScoresRounded!O43,iScoresRounded!$N43:$BK43)</f>
        <v>45</v>
      </c>
      <c r="P43" s="181">
        <f>RANK(iScoresRounded!P43,iScoresRounded!$N43:$BK43)</f>
        <v>44</v>
      </c>
      <c r="Q43" s="181">
        <f>RANK(iScoresRounded!Q43,iScoresRounded!$N43:$BK43)</f>
        <v>37</v>
      </c>
      <c r="R43" s="181">
        <f>RANK(iScoresRounded!R43,iScoresRounded!$N43:$BK43)</f>
        <v>35</v>
      </c>
      <c r="S43" s="181">
        <f>RANK(iScoresRounded!S43,iScoresRounded!$N43:$BK43)</f>
        <v>16</v>
      </c>
      <c r="T43" s="181">
        <f>RANK(iScoresRounded!T43,iScoresRounded!$N43:$BK43)</f>
        <v>17</v>
      </c>
      <c r="U43" s="181">
        <f>RANK(iScoresRounded!U43,iScoresRounded!$N43:$BK43)</f>
        <v>12</v>
      </c>
      <c r="V43" s="181">
        <f>RANK(iScoresRounded!V43,iScoresRounded!$N43:$BK43)</f>
        <v>5</v>
      </c>
      <c r="W43" s="181">
        <f>RANK(iScoresRounded!W43,iScoresRounded!$N43:$BK43)</f>
        <v>20</v>
      </c>
      <c r="X43" s="181">
        <f>RANK(iScoresRounded!X43,iScoresRounded!$N43:$BK43)</f>
        <v>50</v>
      </c>
      <c r="Y43" s="181">
        <f>RANK(iScoresRounded!Y43,iScoresRounded!$N43:$BK43)</f>
        <v>43</v>
      </c>
      <c r="Z43" s="181">
        <f>RANK(iScoresRounded!Z43,iScoresRounded!$N43:$BK43)</f>
        <v>9</v>
      </c>
      <c r="AA43" s="181">
        <f>RANK(iScoresRounded!AA43,iScoresRounded!$N43:$BK43)</f>
        <v>23</v>
      </c>
      <c r="AB43" s="181">
        <f>RANK(iScoresRounded!AB43,iScoresRounded!$N43:$BK43)</f>
        <v>47</v>
      </c>
      <c r="AC43" s="181">
        <f>RANK(iScoresRounded!AC43,iScoresRounded!$N43:$BK43)</f>
        <v>7</v>
      </c>
      <c r="AD43" s="181">
        <f>RANK(iScoresRounded!AD43,iScoresRounded!$N43:$BK43)</f>
        <v>4</v>
      </c>
      <c r="AE43" s="181">
        <f>RANK(iScoresRounded!AE43,iScoresRounded!$N43:$BK43)</f>
        <v>48</v>
      </c>
      <c r="AF43" s="181">
        <f>RANK(iScoresRounded!AF43,iScoresRounded!$N43:$BK43)</f>
        <v>26</v>
      </c>
      <c r="AG43" s="181">
        <f>RANK(iScoresRounded!AG43,iScoresRounded!$N43:$BK43)</f>
        <v>24</v>
      </c>
      <c r="AH43" s="181">
        <f>RANK(iScoresRounded!AH43,iScoresRounded!$N43:$BK43)</f>
        <v>28</v>
      </c>
      <c r="AI43" s="181">
        <f>RANK(iScoresRounded!AI43,iScoresRounded!$N43:$BK43)</f>
        <v>25</v>
      </c>
      <c r="AJ43" s="181">
        <f>RANK(iScoresRounded!AJ43,iScoresRounded!$N43:$BK43)</f>
        <v>27</v>
      </c>
      <c r="AK43" s="181">
        <f>RANK(iScoresRounded!AK43,iScoresRounded!$N43:$BK43)</f>
        <v>30</v>
      </c>
      <c r="AL43" s="181">
        <f>RANK(iScoresRounded!AL43,iScoresRounded!$N43:$BK43)</f>
        <v>32</v>
      </c>
      <c r="AM43" s="181">
        <f>RANK(iScoresRounded!AM43,iScoresRounded!$N43:$BK43)</f>
        <v>49</v>
      </c>
      <c r="AN43" s="181">
        <f>RANK(iScoresRounded!AN43,iScoresRounded!$N43:$BK43)</f>
        <v>13</v>
      </c>
      <c r="AO43" s="181">
        <f>RANK(iScoresRounded!AO43,iScoresRounded!$N43:$BK43)</f>
        <v>14</v>
      </c>
      <c r="AP43" s="181">
        <f>RANK(iScoresRounded!AP43,iScoresRounded!$N43:$BK43)</f>
        <v>36</v>
      </c>
      <c r="AQ43" s="181">
        <f>RANK(iScoresRounded!AQ43,iScoresRounded!$N43:$BK43)</f>
        <v>21</v>
      </c>
      <c r="AR43" s="181">
        <f>RANK(iScoresRounded!AR43,iScoresRounded!$N43:$BK43)</f>
        <v>8</v>
      </c>
      <c r="AS43" s="181">
        <f>RANK(iScoresRounded!AS43,iScoresRounded!$N43:$BK43)</f>
        <v>1</v>
      </c>
      <c r="AT43" s="181">
        <f>RANK(iScoresRounded!AT43,iScoresRounded!$N43:$BK43)</f>
        <v>33</v>
      </c>
      <c r="AU43" s="181">
        <f>RANK(iScoresRounded!AU43,iScoresRounded!$N43:$BK43)</f>
        <v>38</v>
      </c>
      <c r="AV43" s="181">
        <f>RANK(iScoresRounded!AV43,iScoresRounded!$N43:$BK43)</f>
        <v>11</v>
      </c>
      <c r="AW43" s="181">
        <f>RANK(iScoresRounded!AW43,iScoresRounded!$N43:$BK43)</f>
        <v>15</v>
      </c>
      <c r="AX43" s="181">
        <f>RANK(iScoresRounded!AX43,iScoresRounded!$N43:$BK43)</f>
        <v>41</v>
      </c>
      <c r="AY43" s="181">
        <f>RANK(iScoresRounded!AY43,iScoresRounded!$N43:$BK43)</f>
        <v>10</v>
      </c>
      <c r="AZ43" s="181">
        <f>RANK(iScoresRounded!AZ43,iScoresRounded!$N43:$BK43)</f>
        <v>19</v>
      </c>
      <c r="BA43" s="181">
        <f>RANK(iScoresRounded!BA43,iScoresRounded!$N43:$BK43)</f>
        <v>31</v>
      </c>
      <c r="BB43" s="181">
        <f>RANK(iScoresRounded!BB43,iScoresRounded!$N43:$BK43)</f>
        <v>40</v>
      </c>
      <c r="BC43" s="181">
        <f>RANK(iScoresRounded!BC43,iScoresRounded!$N43:$BK43)</f>
        <v>39</v>
      </c>
      <c r="BD43" s="181">
        <f>RANK(iScoresRounded!BD43,iScoresRounded!$N43:$BK43)</f>
        <v>42</v>
      </c>
      <c r="BE43" s="181">
        <f>RANK(iScoresRounded!BE43,iScoresRounded!$N43:$BK43)</f>
        <v>6</v>
      </c>
      <c r="BF43" s="181">
        <f>RANK(iScoresRounded!BF43,iScoresRounded!$N43:$BK43)</f>
        <v>46</v>
      </c>
      <c r="BG43" s="181">
        <f>RANK(iScoresRounded!BG43,iScoresRounded!$N43:$BK43)</f>
        <v>22</v>
      </c>
      <c r="BH43" s="181">
        <f>RANK(iScoresRounded!BH43,iScoresRounded!$N43:$BK43)</f>
        <v>34</v>
      </c>
      <c r="BI43" s="181">
        <f>RANK(iScoresRounded!BI43,iScoresRounded!$N43:$BK43)</f>
        <v>3</v>
      </c>
      <c r="BJ43" s="181">
        <f>RANK(iScoresRounded!BJ43,iScoresRounded!$N43:$BK43)</f>
        <v>29</v>
      </c>
      <c r="BK43" s="181">
        <f>RANK(iScoresRounded!BK43,iScoresRounded!$N43:$BK43)</f>
        <v>18</v>
      </c>
    </row>
    <row r="44" s="22" customFormat="1" spans="1:63">
      <c r="A44" s="24"/>
      <c r="B44" s="24"/>
      <c r="C44" s="24"/>
      <c r="D44" s="52"/>
      <c r="E44" s="52"/>
      <c r="F44" s="52"/>
      <c r="G44" s="52"/>
      <c r="H44" s="52"/>
      <c r="I44" s="52"/>
      <c r="J44" s="52"/>
      <c r="K44" s="54"/>
      <c r="L44" s="62" t="str">
        <f>tblIndicators!Z37</f>
        <v>3.2.1) Death from natural disasters</v>
      </c>
      <c r="M44" s="63"/>
      <c r="N44" s="181">
        <f>RANK(iScoresRounded!N44,iScoresRounded!$N44:$BK44)</f>
        <v>9</v>
      </c>
      <c r="O44" s="181">
        <f>RANK(iScoresRounded!O44,iScoresRounded!$N44:$BK44)</f>
        <v>23</v>
      </c>
      <c r="P44" s="181">
        <f>RANK(iScoresRounded!P44,iScoresRounded!$N44:$BK44)</f>
        <v>21</v>
      </c>
      <c r="Q44" s="181">
        <f>RANK(iScoresRounded!Q44,iScoresRounded!$N44:$BK44)</f>
        <v>46</v>
      </c>
      <c r="R44" s="181">
        <f>RANK(iScoresRounded!R44,iScoresRounded!$N44:$BK44)</f>
        <v>38</v>
      </c>
      <c r="S44" s="181">
        <f>RANK(iScoresRounded!S44,iScoresRounded!$N44:$BK44)</f>
        <v>14</v>
      </c>
      <c r="T44" s="181">
        <f>RANK(iScoresRounded!T44,iScoresRounded!$N44:$BK44)</f>
        <v>33</v>
      </c>
      <c r="U44" s="181">
        <f>RANK(iScoresRounded!U44,iScoresRounded!$N44:$BK44)</f>
        <v>9</v>
      </c>
      <c r="V44" s="181">
        <f>RANK(iScoresRounded!V44,iScoresRounded!$N44:$BK44)</f>
        <v>11</v>
      </c>
      <c r="W44" s="181">
        <f>RANK(iScoresRounded!W44,iScoresRounded!$N44:$BK44)</f>
        <v>30</v>
      </c>
      <c r="X44" s="181">
        <f>RANK(iScoresRounded!X44,iScoresRounded!$N44:$BK44)</f>
        <v>16</v>
      </c>
      <c r="Y44" s="181">
        <f>RANK(iScoresRounded!Y44,iScoresRounded!$N44:$BK44)</f>
        <v>35</v>
      </c>
      <c r="Z44" s="181">
        <f>RANK(iScoresRounded!Z44,iScoresRounded!$N44:$BK44)</f>
        <v>27</v>
      </c>
      <c r="AA44" s="181">
        <f>RANK(iScoresRounded!AA44,iScoresRounded!$N44:$BK44)</f>
        <v>12</v>
      </c>
      <c r="AB44" s="181">
        <f>RANK(iScoresRounded!AB44,iScoresRounded!$N44:$BK44)</f>
        <v>7</v>
      </c>
      <c r="AC44" s="181">
        <f>RANK(iScoresRounded!AC44,iScoresRounded!$N44:$BK44)</f>
        <v>39</v>
      </c>
      <c r="AD44" s="181">
        <f>RANK(iScoresRounded!AD44,iScoresRounded!$N44:$BK44)</f>
        <v>39</v>
      </c>
      <c r="AE44" s="181">
        <f>RANK(iScoresRounded!AE44,iScoresRounded!$N44:$BK44)</f>
        <v>1</v>
      </c>
      <c r="AF44" s="181">
        <f>RANK(iScoresRounded!AF44,iScoresRounded!$N44:$BK44)</f>
        <v>14</v>
      </c>
      <c r="AG44" s="181">
        <f>RANK(iScoresRounded!AG44,iScoresRounded!$N44:$BK44)</f>
        <v>6</v>
      </c>
      <c r="AH44" s="181">
        <f>RANK(iScoresRounded!AH44,iScoresRounded!$N44:$BK44)</f>
        <v>18</v>
      </c>
      <c r="AI44" s="181">
        <f>RANK(iScoresRounded!AI44,iScoresRounded!$N44:$BK44)</f>
        <v>20</v>
      </c>
      <c r="AJ44" s="181">
        <f>RANK(iScoresRounded!AJ44,iScoresRounded!$N44:$BK44)</f>
        <v>24</v>
      </c>
      <c r="AK44" s="181">
        <f>RANK(iScoresRounded!AK44,iScoresRounded!$N44:$BK44)</f>
        <v>1</v>
      </c>
      <c r="AL44" s="181">
        <f>RANK(iScoresRounded!AL44,iScoresRounded!$N44:$BK44)</f>
        <v>42</v>
      </c>
      <c r="AM44" s="181">
        <f>RANK(iScoresRounded!AM44,iScoresRounded!$N44:$BK44)</f>
        <v>50</v>
      </c>
      <c r="AN44" s="181">
        <f>RANK(iScoresRounded!AN44,iScoresRounded!$N44:$BK44)</f>
        <v>29</v>
      </c>
      <c r="AO44" s="181">
        <f>RANK(iScoresRounded!AO44,iScoresRounded!$N44:$BK44)</f>
        <v>47</v>
      </c>
      <c r="AP44" s="181">
        <f>RANK(iScoresRounded!AP44,iScoresRounded!$N44:$BK44)</f>
        <v>49</v>
      </c>
      <c r="AQ44" s="181">
        <f>RANK(iScoresRounded!AQ44,iScoresRounded!$N44:$BK44)</f>
        <v>22</v>
      </c>
      <c r="AR44" s="181">
        <f>RANK(iScoresRounded!AR44,iScoresRounded!$N44:$BK44)</f>
        <v>13</v>
      </c>
      <c r="AS44" s="181">
        <f>RANK(iScoresRounded!AS44,iScoresRounded!$N44:$BK44)</f>
        <v>37</v>
      </c>
      <c r="AT44" s="181">
        <f>RANK(iScoresRounded!AT44,iScoresRounded!$N44:$BK44)</f>
        <v>43</v>
      </c>
      <c r="AU44" s="181">
        <f>RANK(iScoresRounded!AU44,iScoresRounded!$N44:$BK44)</f>
        <v>36</v>
      </c>
      <c r="AV44" s="181">
        <f>RANK(iScoresRounded!AV44,iScoresRounded!$N44:$BK44)</f>
        <v>1</v>
      </c>
      <c r="AW44" s="181">
        <f>RANK(iScoresRounded!AW44,iScoresRounded!$N44:$BK44)</f>
        <v>1</v>
      </c>
      <c r="AX44" s="181">
        <f>RANK(iScoresRounded!AX44,iScoresRounded!$N44:$BK44)</f>
        <v>7</v>
      </c>
      <c r="AY44" s="181">
        <f>RANK(iScoresRounded!AY44,iScoresRounded!$N44:$BK44)</f>
        <v>1</v>
      </c>
      <c r="AZ44" s="181">
        <f>RANK(iScoresRounded!AZ44,iScoresRounded!$N44:$BK44)</f>
        <v>44</v>
      </c>
      <c r="BA44" s="181">
        <f>RANK(iScoresRounded!BA44,iScoresRounded!$N44:$BK44)</f>
        <v>31</v>
      </c>
      <c r="BB44" s="181">
        <f>RANK(iScoresRounded!BB44,iScoresRounded!$N44:$BK44)</f>
        <v>32</v>
      </c>
      <c r="BC44" s="181">
        <f>RANK(iScoresRounded!BC44,iScoresRounded!$N44:$BK44)</f>
        <v>34</v>
      </c>
      <c r="BD44" s="181">
        <f>RANK(iScoresRounded!BD44,iScoresRounded!$N44:$BK44)</f>
        <v>41</v>
      </c>
      <c r="BE44" s="181">
        <f>RANK(iScoresRounded!BE44,iScoresRounded!$N44:$BK44)</f>
        <v>45</v>
      </c>
      <c r="BF44" s="181">
        <f>RANK(iScoresRounded!BF44,iScoresRounded!$N44:$BK44)</f>
        <v>48</v>
      </c>
      <c r="BG44" s="181">
        <f>RANK(iScoresRounded!BG44,iScoresRounded!$N44:$BK44)</f>
        <v>16</v>
      </c>
      <c r="BH44" s="181">
        <f>RANK(iScoresRounded!BH44,iScoresRounded!$N44:$BK44)</f>
        <v>26</v>
      </c>
      <c r="BI44" s="181">
        <f>RANK(iScoresRounded!BI44,iScoresRounded!$N44:$BK44)</f>
        <v>19</v>
      </c>
      <c r="BJ44" s="181">
        <f>RANK(iScoresRounded!BJ44,iScoresRounded!$N44:$BK44)</f>
        <v>25</v>
      </c>
      <c r="BK44" s="181">
        <f>RANK(iScoresRounded!BK44,iScoresRounded!$N44:$BK44)</f>
        <v>28</v>
      </c>
    </row>
    <row r="45" s="22" customFormat="1" spans="1:63">
      <c r="A45" s="24"/>
      <c r="B45" s="24"/>
      <c r="C45" s="24"/>
      <c r="D45" s="52"/>
      <c r="E45" s="52"/>
      <c r="F45" s="52"/>
      <c r="G45" s="52"/>
      <c r="H45" s="52"/>
      <c r="I45" s="52"/>
      <c r="J45" s="52"/>
      <c r="K45" s="54"/>
      <c r="L45" s="62" t="str">
        <f>tblIndicators!Z38</f>
        <v>3.2.2) Frequency of vehicular accidents</v>
      </c>
      <c r="M45" s="63"/>
      <c r="N45" s="181">
        <f>RANK(iScoresRounded!N45,iScoresRounded!$N45:$BK45)</f>
        <v>14</v>
      </c>
      <c r="O45" s="181">
        <f>RANK(iScoresRounded!O45,iScoresRounded!$N45:$BK45)</f>
        <v>46</v>
      </c>
      <c r="P45" s="181">
        <f>RANK(iScoresRounded!P45,iScoresRounded!$N45:$BK45)</f>
        <v>20</v>
      </c>
      <c r="Q45" s="181">
        <f>RANK(iScoresRounded!Q45,iScoresRounded!$N45:$BK45)</f>
        <v>21</v>
      </c>
      <c r="R45" s="181">
        <f>RANK(iScoresRounded!R45,iScoresRounded!$N45:$BK45)</f>
        <v>25</v>
      </c>
      <c r="S45" s="181">
        <f>RANK(iScoresRounded!S45,iScoresRounded!$N45:$BK45)</f>
        <v>30</v>
      </c>
      <c r="T45" s="181">
        <f>RANK(iScoresRounded!T45,iScoresRounded!$N45:$BK45)</f>
        <v>31</v>
      </c>
      <c r="U45" s="181">
        <f>RANK(iScoresRounded!U45,iScoresRounded!$N45:$BK45)</f>
        <v>40</v>
      </c>
      <c r="V45" s="181">
        <f>RANK(iScoresRounded!V45,iScoresRounded!$N45:$BK45)</f>
        <v>28</v>
      </c>
      <c r="W45" s="181">
        <f>RANK(iScoresRounded!W45,iScoresRounded!$N45:$BK45)</f>
        <v>35</v>
      </c>
      <c r="X45" s="181">
        <f>RANK(iScoresRounded!X45,iScoresRounded!$N45:$BK45)</f>
        <v>50</v>
      </c>
      <c r="Y45" s="181">
        <f>RANK(iScoresRounded!Y45,iScoresRounded!$N45:$BK45)</f>
        <v>36</v>
      </c>
      <c r="Z45" s="181">
        <f>RANK(iScoresRounded!Z45,iScoresRounded!$N45:$BK45)</f>
        <v>27</v>
      </c>
      <c r="AA45" s="181">
        <f>RANK(iScoresRounded!AA45,iScoresRounded!$N45:$BK45)</f>
        <v>39</v>
      </c>
      <c r="AB45" s="181">
        <f>RANK(iScoresRounded!AB45,iScoresRounded!$N45:$BK45)</f>
        <v>49</v>
      </c>
      <c r="AC45" s="181">
        <f>RANK(iScoresRounded!AC45,iScoresRounded!$N45:$BK45)</f>
        <v>33</v>
      </c>
      <c r="AD45" s="181">
        <f>RANK(iScoresRounded!AD45,iScoresRounded!$N45:$BK45)</f>
        <v>23</v>
      </c>
      <c r="AE45" s="181">
        <f>RANK(iScoresRounded!AE45,iScoresRounded!$N45:$BK45)</f>
        <v>19</v>
      </c>
      <c r="AF45" s="181">
        <f>RANK(iScoresRounded!AF45,iScoresRounded!$N45:$BK45)</f>
        <v>2</v>
      </c>
      <c r="AG45" s="181">
        <f>RANK(iScoresRounded!AG45,iScoresRounded!$N45:$BK45)</f>
        <v>1</v>
      </c>
      <c r="AH45" s="181">
        <f>RANK(iScoresRounded!AH45,iScoresRounded!$N45:$BK45)</f>
        <v>6</v>
      </c>
      <c r="AI45" s="181">
        <f>RANK(iScoresRounded!AI45,iScoresRounded!$N45:$BK45)</f>
        <v>3</v>
      </c>
      <c r="AJ45" s="181">
        <f>RANK(iScoresRounded!AJ45,iScoresRounded!$N45:$BK45)</f>
        <v>5</v>
      </c>
      <c r="AK45" s="181">
        <f>RANK(iScoresRounded!AK45,iScoresRounded!$N45:$BK45)</f>
        <v>4</v>
      </c>
      <c r="AL45" s="181">
        <f>RANK(iScoresRounded!AL45,iScoresRounded!$N45:$BK45)</f>
        <v>8</v>
      </c>
      <c r="AM45" s="181">
        <f>RANK(iScoresRounded!AM45,iScoresRounded!$N45:$BK45)</f>
        <v>10</v>
      </c>
      <c r="AN45" s="181">
        <f>RANK(iScoresRounded!AN45,iScoresRounded!$N45:$BK45)</f>
        <v>15</v>
      </c>
      <c r="AO45" s="181">
        <f>RANK(iScoresRounded!AO45,iScoresRounded!$N45:$BK45)</f>
        <v>26</v>
      </c>
      <c r="AP45" s="181">
        <f>RANK(iScoresRounded!AP45,iScoresRounded!$N45:$BK45)</f>
        <v>32</v>
      </c>
      <c r="AQ45" s="181">
        <f>RANK(iScoresRounded!AQ45,iScoresRounded!$N45:$BK45)</f>
        <v>13</v>
      </c>
      <c r="AR45" s="181">
        <f>RANK(iScoresRounded!AR45,iScoresRounded!$N45:$BK45)</f>
        <v>29</v>
      </c>
      <c r="AS45" s="181">
        <f>RANK(iScoresRounded!AS45,iScoresRounded!$N45:$BK45)</f>
        <v>38</v>
      </c>
      <c r="AT45" s="181">
        <f>RANK(iScoresRounded!AT45,iScoresRounded!$N45:$BK45)</f>
        <v>22</v>
      </c>
      <c r="AU45" s="181">
        <f>RANK(iScoresRounded!AU45,iScoresRounded!$N45:$BK45)</f>
        <v>7</v>
      </c>
      <c r="AV45" s="181">
        <f>RANK(iScoresRounded!AV45,iScoresRounded!$N45:$BK45)</f>
        <v>42</v>
      </c>
      <c r="AW45" s="181">
        <f>RANK(iScoresRounded!AW45,iScoresRounded!$N45:$BK45)</f>
        <v>18</v>
      </c>
      <c r="AX45" s="181">
        <f>RANK(iScoresRounded!AX45,iScoresRounded!$N45:$BK45)</f>
        <v>48</v>
      </c>
      <c r="AY45" s="181">
        <f>RANK(iScoresRounded!AY45,iScoresRounded!$N45:$BK45)</f>
        <v>11</v>
      </c>
      <c r="AZ45" s="181">
        <f>RANK(iScoresRounded!AZ45,iScoresRounded!$N45:$BK45)</f>
        <v>23</v>
      </c>
      <c r="BA45" s="181">
        <f>RANK(iScoresRounded!BA45,iScoresRounded!$N45:$BK45)</f>
        <v>43</v>
      </c>
      <c r="BB45" s="181">
        <f>RANK(iScoresRounded!BB45,iScoresRounded!$N45:$BK45)</f>
        <v>47</v>
      </c>
      <c r="BC45" s="181">
        <f>RANK(iScoresRounded!BC45,iScoresRounded!$N45:$BK45)</f>
        <v>37</v>
      </c>
      <c r="BD45" s="181">
        <f>RANK(iScoresRounded!BD45,iScoresRounded!$N45:$BK45)</f>
        <v>44</v>
      </c>
      <c r="BE45" s="181">
        <f>RANK(iScoresRounded!BE45,iScoresRounded!$N45:$BK45)</f>
        <v>9</v>
      </c>
      <c r="BF45" s="181">
        <f>RANK(iScoresRounded!BF45,iScoresRounded!$N45:$BK45)</f>
        <v>12</v>
      </c>
      <c r="BG45" s="181">
        <f>RANK(iScoresRounded!BG45,iScoresRounded!$N45:$BK45)</f>
        <v>16</v>
      </c>
      <c r="BH45" s="181">
        <f>RANK(iScoresRounded!BH45,iScoresRounded!$N45:$BK45)</f>
        <v>34</v>
      </c>
      <c r="BI45" s="181">
        <f>RANK(iScoresRounded!BI45,iScoresRounded!$N45:$BK45)</f>
        <v>41</v>
      </c>
      <c r="BJ45" s="181">
        <f>RANK(iScoresRounded!BJ45,iScoresRounded!$N45:$BK45)</f>
        <v>45</v>
      </c>
      <c r="BK45" s="181">
        <f>RANK(iScoresRounded!BK45,iScoresRounded!$N45:$BK45)</f>
        <v>17</v>
      </c>
    </row>
    <row r="46" s="22" customFormat="1" spans="1:63">
      <c r="A46" s="24"/>
      <c r="B46" s="24"/>
      <c r="C46" s="24"/>
      <c r="D46" s="52"/>
      <c r="E46" s="52"/>
      <c r="F46" s="52"/>
      <c r="G46" s="52"/>
      <c r="H46" s="52"/>
      <c r="I46" s="52"/>
      <c r="J46" s="52"/>
      <c r="K46" s="54"/>
      <c r="L46" s="62" t="str">
        <f>tblIndicators!Z39</f>
        <v>3.2.3) Frequency of pedestrian deaths</v>
      </c>
      <c r="M46" s="63"/>
      <c r="N46" s="181">
        <f>RANK(iScoresRounded!N46,iScoresRounded!$N46:$BK46)</f>
        <v>5</v>
      </c>
      <c r="O46" s="181">
        <f>RANK(iScoresRounded!O46,iScoresRounded!$N46:$BK46)</f>
        <v>44</v>
      </c>
      <c r="P46" s="181">
        <f>RANK(iScoresRounded!P46,iScoresRounded!$N46:$BK46)</f>
        <v>48</v>
      </c>
      <c r="Q46" s="181">
        <f>RANK(iScoresRounded!Q46,iScoresRounded!$N46:$BK46)</f>
        <v>42</v>
      </c>
      <c r="R46" s="181">
        <f>RANK(iScoresRounded!R46,iScoresRounded!$N46:$BK46)</f>
        <v>41</v>
      </c>
      <c r="S46" s="181">
        <f>RANK(iScoresRounded!S46,iScoresRounded!$N46:$BK46)</f>
        <v>34</v>
      </c>
      <c r="T46" s="181">
        <f>RANK(iScoresRounded!T46,iScoresRounded!$N46:$BK46)</f>
        <v>32</v>
      </c>
      <c r="U46" s="181">
        <f>RANK(iScoresRounded!U46,iScoresRounded!$N46:$BK46)</f>
        <v>3</v>
      </c>
      <c r="V46" s="181">
        <f>RANK(iScoresRounded!V46,iScoresRounded!$N46:$BK46)</f>
        <v>1</v>
      </c>
      <c r="W46" s="181">
        <f>RANK(iScoresRounded!W46,iScoresRounded!$N46:$BK46)</f>
        <v>30</v>
      </c>
      <c r="X46" s="181">
        <f>RANK(iScoresRounded!X46,iScoresRounded!$N46:$BK46)</f>
        <v>50</v>
      </c>
      <c r="Y46" s="181">
        <f>RANK(iScoresRounded!Y46,iScoresRounded!$N46:$BK46)</f>
        <v>40</v>
      </c>
      <c r="Z46" s="181">
        <f>RANK(iScoresRounded!Z46,iScoresRounded!$N46:$BK46)</f>
        <v>47</v>
      </c>
      <c r="AA46" s="181">
        <f>RANK(iScoresRounded!AA46,iScoresRounded!$N46:$BK46)</f>
        <v>27</v>
      </c>
      <c r="AB46" s="181">
        <f>RANK(iScoresRounded!AB46,iScoresRounded!$N46:$BK46)</f>
        <v>23</v>
      </c>
      <c r="AC46" s="181">
        <f>RANK(iScoresRounded!AC46,iScoresRounded!$N46:$BK46)</f>
        <v>8</v>
      </c>
      <c r="AD46" s="181">
        <f>RANK(iScoresRounded!AD46,iScoresRounded!$N46:$BK46)</f>
        <v>6</v>
      </c>
      <c r="AE46" s="181">
        <f>RANK(iScoresRounded!AE46,iScoresRounded!$N46:$BK46)</f>
        <v>49</v>
      </c>
      <c r="AF46" s="181">
        <f>RANK(iScoresRounded!AF46,iScoresRounded!$N46:$BK46)</f>
        <v>21</v>
      </c>
      <c r="AG46" s="181">
        <f>RANK(iScoresRounded!AG46,iScoresRounded!$N46:$BK46)</f>
        <v>16</v>
      </c>
      <c r="AH46" s="181">
        <f>RANK(iScoresRounded!AH46,iScoresRounded!$N46:$BK46)</f>
        <v>21</v>
      </c>
      <c r="AI46" s="181">
        <f>RANK(iScoresRounded!AI46,iScoresRounded!$N46:$BK46)</f>
        <v>16</v>
      </c>
      <c r="AJ46" s="181">
        <f>RANK(iScoresRounded!AJ46,iScoresRounded!$N46:$BK46)</f>
        <v>16</v>
      </c>
      <c r="AK46" s="181">
        <f>RANK(iScoresRounded!AK46,iScoresRounded!$N46:$BK46)</f>
        <v>25</v>
      </c>
      <c r="AL46" s="181">
        <f>RANK(iScoresRounded!AL46,iScoresRounded!$N46:$BK46)</f>
        <v>34</v>
      </c>
      <c r="AM46" s="181">
        <f>RANK(iScoresRounded!AM46,iScoresRounded!$N46:$BK46)</f>
        <v>37</v>
      </c>
      <c r="AN46" s="181">
        <f>RANK(iScoresRounded!AN46,iScoresRounded!$N46:$BK46)</f>
        <v>46</v>
      </c>
      <c r="AO46" s="181">
        <f>RANK(iScoresRounded!AO46,iScoresRounded!$N46:$BK46)</f>
        <v>29</v>
      </c>
      <c r="AP46" s="181">
        <f>RANK(iScoresRounded!AP46,iScoresRounded!$N46:$BK46)</f>
        <v>23</v>
      </c>
      <c r="AQ46" s="181">
        <f>RANK(iScoresRounded!AQ46,iScoresRounded!$N46:$BK46)</f>
        <v>10</v>
      </c>
      <c r="AR46" s="181">
        <f>RANK(iScoresRounded!AR46,iScoresRounded!$N46:$BK46)</f>
        <v>27</v>
      </c>
      <c r="AS46" s="181">
        <f>RANK(iScoresRounded!AS46,iScoresRounded!$N46:$BK46)</f>
        <v>14</v>
      </c>
      <c r="AT46" s="181">
        <f>RANK(iScoresRounded!AT46,iScoresRounded!$N46:$BK46)</f>
        <v>26</v>
      </c>
      <c r="AU46" s="181">
        <f>RANK(iScoresRounded!AU46,iScoresRounded!$N46:$BK46)</f>
        <v>13</v>
      </c>
      <c r="AV46" s="181">
        <f>RANK(iScoresRounded!AV46,iScoresRounded!$N46:$BK46)</f>
        <v>43</v>
      </c>
      <c r="AW46" s="181">
        <f>RANK(iScoresRounded!AW46,iScoresRounded!$N46:$BK46)</f>
        <v>39</v>
      </c>
      <c r="AX46" s="181">
        <f>RANK(iScoresRounded!AX46,iScoresRounded!$N46:$BK46)</f>
        <v>38</v>
      </c>
      <c r="AY46" s="181">
        <f>RANK(iScoresRounded!AY46,iScoresRounded!$N46:$BK46)</f>
        <v>31</v>
      </c>
      <c r="AZ46" s="181">
        <f>RANK(iScoresRounded!AZ46,iScoresRounded!$N46:$BK46)</f>
        <v>16</v>
      </c>
      <c r="BA46" s="181">
        <f>RANK(iScoresRounded!BA46,iScoresRounded!$N46:$BK46)</f>
        <v>10</v>
      </c>
      <c r="BB46" s="181">
        <f>RANK(iScoresRounded!BB46,iScoresRounded!$N46:$BK46)</f>
        <v>6</v>
      </c>
      <c r="BC46" s="181">
        <f>RANK(iScoresRounded!BC46,iScoresRounded!$N46:$BK46)</f>
        <v>33</v>
      </c>
      <c r="BD46" s="181">
        <f>RANK(iScoresRounded!BD46,iScoresRounded!$N46:$BK46)</f>
        <v>34</v>
      </c>
      <c r="BE46" s="181">
        <f>RANK(iScoresRounded!BE46,iScoresRounded!$N46:$BK46)</f>
        <v>3</v>
      </c>
      <c r="BF46" s="181">
        <f>RANK(iScoresRounded!BF46,iScoresRounded!$N46:$BK46)</f>
        <v>45</v>
      </c>
      <c r="BG46" s="181">
        <f>RANK(iScoresRounded!BG46,iScoresRounded!$N46:$BK46)</f>
        <v>2</v>
      </c>
      <c r="BH46" s="181">
        <f>RANK(iScoresRounded!BH46,iScoresRounded!$N46:$BK46)</f>
        <v>8</v>
      </c>
      <c r="BI46" s="181">
        <f>RANK(iScoresRounded!BI46,iScoresRounded!$N46:$BK46)</f>
        <v>14</v>
      </c>
      <c r="BJ46" s="181">
        <f>RANK(iScoresRounded!BJ46,iScoresRounded!$N46:$BK46)</f>
        <v>20</v>
      </c>
      <c r="BK46" s="181">
        <f>RANK(iScoresRounded!BK46,iScoresRounded!$N46:$BK46)</f>
        <v>10</v>
      </c>
    </row>
    <row r="47" s="22" customFormat="1" spans="1:63">
      <c r="A47" s="24"/>
      <c r="B47" s="24"/>
      <c r="C47" s="24"/>
      <c r="D47" s="52"/>
      <c r="E47" s="52"/>
      <c r="F47" s="52"/>
      <c r="G47" s="52"/>
      <c r="H47" s="52"/>
      <c r="I47" s="52"/>
      <c r="J47" s="52"/>
      <c r="K47" s="54"/>
      <c r="L47" s="62" t="str">
        <f>tblIndicators!Z40</f>
        <v>3.2.4) Percent living in urban slums</v>
      </c>
      <c r="M47" s="63"/>
      <c r="N47" s="181">
        <f>RANK(iScoresRounded!N47,iScoresRounded!$N47:$BK47)</f>
        <v>5</v>
      </c>
      <c r="O47" s="181">
        <f>RANK(iScoresRounded!O47,iScoresRounded!$N47:$BK47)</f>
        <v>30</v>
      </c>
      <c r="P47" s="181">
        <f>RANK(iScoresRounded!P47,iScoresRounded!$N47:$BK47)</f>
        <v>28</v>
      </c>
      <c r="Q47" s="181">
        <f>RANK(iScoresRounded!Q47,iScoresRounded!$N47:$BK47)</f>
        <v>34</v>
      </c>
      <c r="R47" s="181">
        <f>RANK(iScoresRounded!R47,iScoresRounded!$N47:$BK47)</f>
        <v>34</v>
      </c>
      <c r="S47" s="181">
        <f>RANK(iScoresRounded!S47,iScoresRounded!$N47:$BK47)</f>
        <v>23</v>
      </c>
      <c r="T47" s="181">
        <f>RANK(iScoresRounded!T47,iScoresRounded!$N47:$BK47)</f>
        <v>23</v>
      </c>
      <c r="U47" s="181">
        <f>RANK(iScoresRounded!U47,iScoresRounded!$N47:$BK47)</f>
        <v>10</v>
      </c>
      <c r="V47" s="181">
        <f>RANK(iScoresRounded!V47,iScoresRounded!$N47:$BK47)</f>
        <v>9</v>
      </c>
      <c r="W47" s="181">
        <f>RANK(iScoresRounded!W47,iScoresRounded!$N47:$BK47)</f>
        <v>23</v>
      </c>
      <c r="X47" s="181">
        <f>RANK(iScoresRounded!X47,iScoresRounded!$N47:$BK47)</f>
        <v>11</v>
      </c>
      <c r="Y47" s="181">
        <f>RANK(iScoresRounded!Y47,iScoresRounded!$N47:$BK47)</f>
        <v>50</v>
      </c>
      <c r="Z47" s="181">
        <f>RANK(iScoresRounded!Z47,iScoresRounded!$N47:$BK47)</f>
        <v>4</v>
      </c>
      <c r="AA47" s="181">
        <f>RANK(iScoresRounded!AA47,iScoresRounded!$N47:$BK47)</f>
        <v>23</v>
      </c>
      <c r="AB47" s="181">
        <f>RANK(iScoresRounded!AB47,iScoresRounded!$N47:$BK47)</f>
        <v>23</v>
      </c>
      <c r="AC47" s="181">
        <f>RANK(iScoresRounded!AC47,iScoresRounded!$N47:$BK47)</f>
        <v>6</v>
      </c>
      <c r="AD47" s="181">
        <f>RANK(iScoresRounded!AD47,iScoresRounded!$N47:$BK47)</f>
        <v>6</v>
      </c>
      <c r="AE47" s="181">
        <f>RANK(iScoresRounded!AE47,iScoresRounded!$N47:$BK47)</f>
        <v>17</v>
      </c>
      <c r="AF47" s="181">
        <f>RANK(iScoresRounded!AF47,iScoresRounded!$N47:$BK47)</f>
        <v>41</v>
      </c>
      <c r="AG47" s="181">
        <f>RANK(iScoresRounded!AG47,iScoresRounded!$N47:$BK47)</f>
        <v>41</v>
      </c>
      <c r="AH47" s="181">
        <f>RANK(iScoresRounded!AH47,iScoresRounded!$N47:$BK47)</f>
        <v>41</v>
      </c>
      <c r="AI47" s="181">
        <f>RANK(iScoresRounded!AI47,iScoresRounded!$N47:$BK47)</f>
        <v>41</v>
      </c>
      <c r="AJ47" s="181">
        <f>RANK(iScoresRounded!AJ47,iScoresRounded!$N47:$BK47)</f>
        <v>41</v>
      </c>
      <c r="AK47" s="181">
        <f>RANK(iScoresRounded!AK47,iScoresRounded!$N47:$BK47)</f>
        <v>46</v>
      </c>
      <c r="AL47" s="181">
        <f>RANK(iScoresRounded!AL47,iScoresRounded!$N47:$BK47)</f>
        <v>46</v>
      </c>
      <c r="AM47" s="181">
        <f>RANK(iScoresRounded!AM47,iScoresRounded!$N47:$BK47)</f>
        <v>30</v>
      </c>
      <c r="AN47" s="181">
        <f>RANK(iScoresRounded!AN47,iScoresRounded!$N47:$BK47)</f>
        <v>12</v>
      </c>
      <c r="AO47" s="181">
        <f>RANK(iScoresRounded!AO47,iScoresRounded!$N47:$BK47)</f>
        <v>15</v>
      </c>
      <c r="AP47" s="181">
        <f>RANK(iScoresRounded!AP47,iScoresRounded!$N47:$BK47)</f>
        <v>15</v>
      </c>
      <c r="AQ47" s="181">
        <f>RANK(iScoresRounded!AQ47,iScoresRounded!$N47:$BK47)</f>
        <v>33</v>
      </c>
      <c r="AR47" s="181">
        <f>RANK(iScoresRounded!AR47,iScoresRounded!$N47:$BK47)</f>
        <v>12</v>
      </c>
      <c r="AS47" s="181">
        <f>RANK(iScoresRounded!AS47,iScoresRounded!$N47:$BK47)</f>
        <v>1</v>
      </c>
      <c r="AT47" s="181">
        <f>RANK(iScoresRounded!AT47,iScoresRounded!$N47:$BK47)</f>
        <v>36</v>
      </c>
      <c r="AU47" s="181">
        <f>RANK(iScoresRounded!AU47,iScoresRounded!$N47:$BK47)</f>
        <v>48</v>
      </c>
      <c r="AV47" s="181">
        <f>RANK(iScoresRounded!AV47,iScoresRounded!$N47:$BK47)</f>
        <v>3</v>
      </c>
      <c r="AW47" s="181">
        <f>RANK(iScoresRounded!AW47,iScoresRounded!$N47:$BK47)</f>
        <v>20</v>
      </c>
      <c r="AX47" s="181">
        <f>RANK(iScoresRounded!AX47,iScoresRounded!$N47:$BK47)</f>
        <v>17</v>
      </c>
      <c r="AY47" s="181">
        <f>RANK(iScoresRounded!AY47,iScoresRounded!$N47:$BK47)</f>
        <v>20</v>
      </c>
      <c r="AZ47" s="181">
        <f>RANK(iScoresRounded!AZ47,iScoresRounded!$N47:$BK47)</f>
        <v>29</v>
      </c>
      <c r="BA47" s="181">
        <f>RANK(iScoresRounded!BA47,iScoresRounded!$N47:$BK47)</f>
        <v>19</v>
      </c>
      <c r="BB47" s="181">
        <f>RANK(iScoresRounded!BB47,iScoresRounded!$N47:$BK47)</f>
        <v>22</v>
      </c>
      <c r="BC47" s="181">
        <f>RANK(iScoresRounded!BC47,iScoresRounded!$N47:$BK47)</f>
        <v>39</v>
      </c>
      <c r="BD47" s="181">
        <f>RANK(iScoresRounded!BD47,iScoresRounded!$N47:$BK47)</f>
        <v>39</v>
      </c>
      <c r="BE47" s="181">
        <f>RANK(iScoresRounded!BE47,iScoresRounded!$N47:$BK47)</f>
        <v>12</v>
      </c>
      <c r="BF47" s="181">
        <f>RANK(iScoresRounded!BF47,iScoresRounded!$N47:$BK47)</f>
        <v>49</v>
      </c>
      <c r="BG47" s="181">
        <f>RANK(iScoresRounded!BG47,iScoresRounded!$N47:$BK47)</f>
        <v>37</v>
      </c>
      <c r="BH47" s="181">
        <f>RANK(iScoresRounded!BH47,iScoresRounded!$N47:$BK47)</f>
        <v>37</v>
      </c>
      <c r="BI47" s="181">
        <f>RANK(iScoresRounded!BI47,iScoresRounded!$N47:$BK47)</f>
        <v>2</v>
      </c>
      <c r="BJ47" s="181">
        <f>RANK(iScoresRounded!BJ47,iScoresRounded!$N47:$BK47)</f>
        <v>8</v>
      </c>
      <c r="BK47" s="181">
        <f>RANK(iScoresRounded!BK47,iScoresRounded!$N47:$BK47)</f>
        <v>32</v>
      </c>
    </row>
    <row r="48" s="22" customFormat="1" spans="1:63">
      <c r="A48" s="24"/>
      <c r="B48" s="24"/>
      <c r="C48" s="24"/>
      <c r="D48" s="52"/>
      <c r="E48" s="52"/>
      <c r="F48" s="52"/>
      <c r="G48" s="52"/>
      <c r="H48" s="52"/>
      <c r="I48" s="52"/>
      <c r="J48" s="52"/>
      <c r="K48" s="54"/>
      <c r="L48" s="62" t="str">
        <f>tblIndicators!Z41</f>
        <v>4) PERSONAL SAFETY</v>
      </c>
      <c r="M48" s="63"/>
      <c r="N48" s="181">
        <f>RANK(iScoresRounded!N48,iScoresRounded!$N48:$BK48)</f>
        <v>4</v>
      </c>
      <c r="O48" s="181">
        <f>RANK(iScoresRounded!O48,iScoresRounded!$N48:$BK48)</f>
        <v>39</v>
      </c>
      <c r="P48" s="181">
        <f>RANK(iScoresRounded!P48,iScoresRounded!$N48:$BK48)</f>
        <v>36</v>
      </c>
      <c r="Q48" s="181">
        <f>RANK(iScoresRounded!Q48,iScoresRounded!$N48:$BK48)</f>
        <v>46</v>
      </c>
      <c r="R48" s="181">
        <f>RANK(iScoresRounded!R48,iScoresRounded!$N48:$BK48)</f>
        <v>31</v>
      </c>
      <c r="S48" s="181">
        <f>RANK(iScoresRounded!S48,iScoresRounded!$N48:$BK48)</f>
        <v>23</v>
      </c>
      <c r="T48" s="181">
        <f>RANK(iScoresRounded!T48,iScoresRounded!$N48:$BK48)</f>
        <v>21</v>
      </c>
      <c r="U48" s="181">
        <f>RANK(iScoresRounded!U48,iScoresRounded!$N48:$BK48)</f>
        <v>7</v>
      </c>
      <c r="V48" s="181">
        <f>RANK(iScoresRounded!V48,iScoresRounded!$N48:$BK48)</f>
        <v>29</v>
      </c>
      <c r="W48" s="181">
        <f>RANK(iScoresRounded!W48,iScoresRounded!$N48:$BK48)</f>
        <v>25</v>
      </c>
      <c r="X48" s="181">
        <f>RANK(iScoresRounded!X48,iScoresRounded!$N48:$BK48)</f>
        <v>37</v>
      </c>
      <c r="Y48" s="181">
        <f>RANK(iScoresRounded!Y48,iScoresRounded!$N48:$BK48)</f>
        <v>15</v>
      </c>
      <c r="Z48" s="181">
        <f>RANK(iScoresRounded!Z48,iScoresRounded!$N48:$BK48)</f>
        <v>50</v>
      </c>
      <c r="AA48" s="181">
        <f>RANK(iScoresRounded!AA48,iScoresRounded!$N48:$BK48)</f>
        <v>28</v>
      </c>
      <c r="AB48" s="181">
        <f>RANK(iScoresRounded!AB48,iScoresRounded!$N48:$BK48)</f>
        <v>17</v>
      </c>
      <c r="AC48" s="181">
        <f>RANK(iScoresRounded!AC48,iScoresRounded!$N48:$BK48)</f>
        <v>10</v>
      </c>
      <c r="AD48" s="181">
        <f>RANK(iScoresRounded!AD48,iScoresRounded!$N48:$BK48)</f>
        <v>8</v>
      </c>
      <c r="AE48" s="181">
        <f>RANK(iScoresRounded!AE48,iScoresRounded!$N48:$BK48)</f>
        <v>6</v>
      </c>
      <c r="AF48" s="181">
        <f>RANK(iScoresRounded!AF48,iScoresRounded!$N48:$BK48)</f>
        <v>48</v>
      </c>
      <c r="AG48" s="181">
        <f>RANK(iScoresRounded!AG48,iScoresRounded!$N48:$BK48)</f>
        <v>30</v>
      </c>
      <c r="AH48" s="181">
        <f>RANK(iScoresRounded!AH48,iScoresRounded!$N48:$BK48)</f>
        <v>38</v>
      </c>
      <c r="AI48" s="181">
        <f>RANK(iScoresRounded!AI48,iScoresRounded!$N48:$BK48)</f>
        <v>44</v>
      </c>
      <c r="AJ48" s="181">
        <f>RANK(iScoresRounded!AJ48,iScoresRounded!$N48:$BK48)</f>
        <v>35</v>
      </c>
      <c r="AK48" s="181">
        <f>RANK(iScoresRounded!AK48,iScoresRounded!$N48:$BK48)</f>
        <v>20</v>
      </c>
      <c r="AL48" s="181">
        <f>RANK(iScoresRounded!AL48,iScoresRounded!$N48:$BK48)</f>
        <v>22</v>
      </c>
      <c r="AM48" s="181">
        <f>RANK(iScoresRounded!AM48,iScoresRounded!$N48:$BK48)</f>
        <v>45</v>
      </c>
      <c r="AN48" s="181">
        <f>RANK(iScoresRounded!AN48,iScoresRounded!$N48:$BK48)</f>
        <v>47</v>
      </c>
      <c r="AO48" s="181">
        <f>RANK(iScoresRounded!AO48,iScoresRounded!$N48:$BK48)</f>
        <v>3</v>
      </c>
      <c r="AP48" s="181">
        <f>RANK(iScoresRounded!AP48,iScoresRounded!$N48:$BK48)</f>
        <v>2</v>
      </c>
      <c r="AQ48" s="181">
        <f>RANK(iScoresRounded!AQ48,iScoresRounded!$N48:$BK48)</f>
        <v>1</v>
      </c>
      <c r="AR48" s="181">
        <f>RANK(iScoresRounded!AR48,iScoresRounded!$N48:$BK48)</f>
        <v>19</v>
      </c>
      <c r="AS48" s="181">
        <f>RANK(iScoresRounded!AS48,iScoresRounded!$N48:$BK48)</f>
        <v>5</v>
      </c>
      <c r="AT48" s="181">
        <f>RANK(iScoresRounded!AT48,iScoresRounded!$N48:$BK48)</f>
        <v>26</v>
      </c>
      <c r="AU48" s="181">
        <f>RANK(iScoresRounded!AU48,iScoresRounded!$N48:$BK48)</f>
        <v>34</v>
      </c>
      <c r="AV48" s="181">
        <f>RANK(iScoresRounded!AV48,iScoresRounded!$N48:$BK48)</f>
        <v>43</v>
      </c>
      <c r="AW48" s="181">
        <f>RANK(iScoresRounded!AW48,iScoresRounded!$N48:$BK48)</f>
        <v>14</v>
      </c>
      <c r="AX48" s="181">
        <f>RANK(iScoresRounded!AX48,iScoresRounded!$N48:$BK48)</f>
        <v>42</v>
      </c>
      <c r="AY48" s="181">
        <f>RANK(iScoresRounded!AY48,iScoresRounded!$N48:$BK48)</f>
        <v>32</v>
      </c>
      <c r="AZ48" s="181">
        <f>RANK(iScoresRounded!AZ48,iScoresRounded!$N48:$BK48)</f>
        <v>41</v>
      </c>
      <c r="BA48" s="181">
        <f>RANK(iScoresRounded!BA48,iScoresRounded!$N48:$BK48)</f>
        <v>24</v>
      </c>
      <c r="BB48" s="181">
        <f>RANK(iScoresRounded!BB48,iScoresRounded!$N48:$BK48)</f>
        <v>16</v>
      </c>
      <c r="BC48" s="181">
        <f>RANK(iScoresRounded!BC48,iScoresRounded!$N48:$BK48)</f>
        <v>40</v>
      </c>
      <c r="BD48" s="181">
        <f>RANK(iScoresRounded!BD48,iScoresRounded!$N48:$BK48)</f>
        <v>27</v>
      </c>
      <c r="BE48" s="181">
        <f>RANK(iScoresRounded!BE48,iScoresRounded!$N48:$BK48)</f>
        <v>9</v>
      </c>
      <c r="BF48" s="181">
        <f>RANK(iScoresRounded!BF48,iScoresRounded!$N48:$BK48)</f>
        <v>49</v>
      </c>
      <c r="BG48" s="181">
        <f>RANK(iScoresRounded!BG48,iScoresRounded!$N48:$BK48)</f>
        <v>33</v>
      </c>
      <c r="BH48" s="181">
        <f>RANK(iScoresRounded!BH48,iScoresRounded!$N48:$BK48)</f>
        <v>11</v>
      </c>
      <c r="BI48" s="181">
        <f>RANK(iScoresRounded!BI48,iScoresRounded!$N48:$BK48)</f>
        <v>13</v>
      </c>
      <c r="BJ48" s="181">
        <f>RANK(iScoresRounded!BJ48,iScoresRounded!$N48:$BK48)</f>
        <v>18</v>
      </c>
      <c r="BK48" s="181">
        <f>RANK(iScoresRounded!BK48,iScoresRounded!$N48:$BK48)</f>
        <v>12</v>
      </c>
    </row>
    <row r="49" s="22" customFormat="1" spans="1:63">
      <c r="A49" s="24"/>
      <c r="B49" s="24"/>
      <c r="C49" s="24"/>
      <c r="D49" s="52"/>
      <c r="E49" s="52"/>
      <c r="F49" s="52"/>
      <c r="G49" s="52"/>
      <c r="H49" s="52"/>
      <c r="I49" s="52"/>
      <c r="J49" s="52"/>
      <c r="K49" s="54"/>
      <c r="L49" s="62" t="str">
        <f>tblIndicators!Z42</f>
        <v>4.1) Personal Safety (Inputs)</v>
      </c>
      <c r="M49" s="63"/>
      <c r="N49" s="181">
        <f>RANK(iScoresRounded!N49,iScoresRounded!$N49:$BK49)</f>
        <v>17</v>
      </c>
      <c r="O49" s="181">
        <f>RANK(iScoresRounded!O49,iScoresRounded!$N49:$BK49)</f>
        <v>33</v>
      </c>
      <c r="P49" s="181">
        <f>RANK(iScoresRounded!P49,iScoresRounded!$N49:$BK49)</f>
        <v>34</v>
      </c>
      <c r="Q49" s="181">
        <f>RANK(iScoresRounded!Q49,iScoresRounded!$N49:$BK49)</f>
        <v>42</v>
      </c>
      <c r="R49" s="181">
        <f>RANK(iScoresRounded!R49,iScoresRounded!$N49:$BK49)</f>
        <v>25</v>
      </c>
      <c r="S49" s="181">
        <f>RANK(iScoresRounded!S49,iScoresRounded!$N49:$BK49)</f>
        <v>13</v>
      </c>
      <c r="T49" s="181">
        <f>RANK(iScoresRounded!T49,iScoresRounded!$N49:$BK49)</f>
        <v>13</v>
      </c>
      <c r="U49" s="181">
        <f>RANK(iScoresRounded!U49,iScoresRounded!$N49:$BK49)</f>
        <v>8</v>
      </c>
      <c r="V49" s="181">
        <f>RANK(iScoresRounded!V49,iScoresRounded!$N49:$BK49)</f>
        <v>35</v>
      </c>
      <c r="W49" s="181">
        <f>RANK(iScoresRounded!W49,iScoresRounded!$N49:$BK49)</f>
        <v>15</v>
      </c>
      <c r="X49" s="181">
        <f>RANK(iScoresRounded!X49,iScoresRounded!$N49:$BK49)</f>
        <v>28</v>
      </c>
      <c r="Y49" s="181">
        <f>RANK(iScoresRounded!Y49,iScoresRounded!$N49:$BK49)</f>
        <v>19</v>
      </c>
      <c r="Z49" s="181">
        <f>RANK(iScoresRounded!Z49,iScoresRounded!$N49:$BK49)</f>
        <v>43</v>
      </c>
      <c r="AA49" s="181">
        <f>RANK(iScoresRounded!AA49,iScoresRounded!$N49:$BK49)</f>
        <v>16</v>
      </c>
      <c r="AB49" s="181">
        <f>RANK(iScoresRounded!AB49,iScoresRounded!$N49:$BK49)</f>
        <v>3</v>
      </c>
      <c r="AC49" s="181">
        <f>RANK(iScoresRounded!AC49,iScoresRounded!$N49:$BK49)</f>
        <v>3</v>
      </c>
      <c r="AD49" s="181">
        <f>RANK(iScoresRounded!AD49,iScoresRounded!$N49:$BK49)</f>
        <v>3</v>
      </c>
      <c r="AE49" s="181">
        <f>RANK(iScoresRounded!AE49,iScoresRounded!$N49:$BK49)</f>
        <v>10</v>
      </c>
      <c r="AF49" s="181">
        <f>RANK(iScoresRounded!AF49,iScoresRounded!$N49:$BK49)</f>
        <v>45</v>
      </c>
      <c r="AG49" s="181">
        <f>RANK(iScoresRounded!AG49,iScoresRounded!$N49:$BK49)</f>
        <v>30</v>
      </c>
      <c r="AH49" s="181">
        <f>RANK(iScoresRounded!AH49,iScoresRounded!$N49:$BK49)</f>
        <v>38</v>
      </c>
      <c r="AI49" s="181">
        <f>RANK(iScoresRounded!AI49,iScoresRounded!$N49:$BK49)</f>
        <v>38</v>
      </c>
      <c r="AJ49" s="181">
        <f>RANK(iScoresRounded!AJ49,iScoresRounded!$N49:$BK49)</f>
        <v>38</v>
      </c>
      <c r="AK49" s="181">
        <f>RANK(iScoresRounded!AK49,iScoresRounded!$N49:$BK49)</f>
        <v>22</v>
      </c>
      <c r="AL49" s="181">
        <f>RANK(iScoresRounded!AL49,iScoresRounded!$N49:$BK49)</f>
        <v>22</v>
      </c>
      <c r="AM49" s="181">
        <f>RANK(iScoresRounded!AM49,iScoresRounded!$N49:$BK49)</f>
        <v>41</v>
      </c>
      <c r="AN49" s="181">
        <f>RANK(iScoresRounded!AN49,iScoresRounded!$N49:$BK49)</f>
        <v>47</v>
      </c>
      <c r="AO49" s="181">
        <f>RANK(iScoresRounded!AO49,iScoresRounded!$N49:$BK49)</f>
        <v>1</v>
      </c>
      <c r="AP49" s="181">
        <f>RANK(iScoresRounded!AP49,iScoresRounded!$N49:$BK49)</f>
        <v>1</v>
      </c>
      <c r="AQ49" s="181">
        <f>RANK(iScoresRounded!AQ49,iScoresRounded!$N49:$BK49)</f>
        <v>6</v>
      </c>
      <c r="AR49" s="181">
        <f>RANK(iScoresRounded!AR49,iScoresRounded!$N49:$BK49)</f>
        <v>32</v>
      </c>
      <c r="AS49" s="181">
        <f>RANK(iScoresRounded!AS49,iScoresRounded!$N49:$BK49)</f>
        <v>7</v>
      </c>
      <c r="AT49" s="181">
        <f>RANK(iScoresRounded!AT49,iScoresRounded!$N49:$BK49)</f>
        <v>24</v>
      </c>
      <c r="AU49" s="181">
        <f>RANK(iScoresRounded!AU49,iScoresRounded!$N49:$BK49)</f>
        <v>37</v>
      </c>
      <c r="AV49" s="181">
        <f>RANK(iScoresRounded!AV49,iScoresRounded!$N49:$BK49)</f>
        <v>50</v>
      </c>
      <c r="AW49" s="181">
        <f>RANK(iScoresRounded!AW49,iScoresRounded!$N49:$BK49)</f>
        <v>18</v>
      </c>
      <c r="AX49" s="181">
        <f>RANK(iScoresRounded!AX49,iScoresRounded!$N49:$BK49)</f>
        <v>48</v>
      </c>
      <c r="AY49" s="181">
        <f>RANK(iScoresRounded!AY49,iScoresRounded!$N49:$BK49)</f>
        <v>44</v>
      </c>
      <c r="AZ49" s="181">
        <f>RANK(iScoresRounded!AZ49,iScoresRounded!$N49:$BK49)</f>
        <v>46</v>
      </c>
      <c r="BA49" s="181">
        <f>RANK(iScoresRounded!BA49,iScoresRounded!$N49:$BK49)</f>
        <v>27</v>
      </c>
      <c r="BB49" s="181">
        <f>RANK(iScoresRounded!BB49,iScoresRounded!$N49:$BK49)</f>
        <v>21</v>
      </c>
      <c r="BC49" s="181">
        <f>RANK(iScoresRounded!BC49,iScoresRounded!$N49:$BK49)</f>
        <v>36</v>
      </c>
      <c r="BD49" s="181">
        <f>RANK(iScoresRounded!BD49,iScoresRounded!$N49:$BK49)</f>
        <v>26</v>
      </c>
      <c r="BE49" s="181">
        <f>RANK(iScoresRounded!BE49,iScoresRounded!$N49:$BK49)</f>
        <v>11</v>
      </c>
      <c r="BF49" s="181">
        <f>RANK(iScoresRounded!BF49,iScoresRounded!$N49:$BK49)</f>
        <v>49</v>
      </c>
      <c r="BG49" s="181">
        <f>RANK(iScoresRounded!BG49,iScoresRounded!$N49:$BK49)</f>
        <v>31</v>
      </c>
      <c r="BH49" s="181">
        <f>RANK(iScoresRounded!BH49,iScoresRounded!$N49:$BK49)</f>
        <v>12</v>
      </c>
      <c r="BI49" s="181">
        <f>RANK(iScoresRounded!BI49,iScoresRounded!$N49:$BK49)</f>
        <v>29</v>
      </c>
      <c r="BJ49" s="181">
        <f>RANK(iScoresRounded!BJ49,iScoresRounded!$N49:$BK49)</f>
        <v>20</v>
      </c>
      <c r="BK49" s="181">
        <f>RANK(iScoresRounded!BK49,iScoresRounded!$N49:$BK49)</f>
        <v>8</v>
      </c>
    </row>
    <row r="50" s="22" customFormat="1" spans="1:63">
      <c r="A50" s="24"/>
      <c r="B50" s="24"/>
      <c r="C50" s="24"/>
      <c r="D50" s="52"/>
      <c r="E50" s="52"/>
      <c r="F50" s="52"/>
      <c r="G50" s="52"/>
      <c r="H50" s="52"/>
      <c r="I50" s="52"/>
      <c r="J50" s="52"/>
      <c r="K50" s="54"/>
      <c r="L50" s="62" t="str">
        <f>tblIndicators!Z43</f>
        <v>4.1.1) Level of police engagement</v>
      </c>
      <c r="M50" s="63"/>
      <c r="N50" s="181">
        <f>RANK(iScoresRounded!N50,iScoresRounded!$N50:$BK50)</f>
        <v>1</v>
      </c>
      <c r="O50" s="181">
        <f>RANK(iScoresRounded!O50,iScoresRounded!$N50:$BK50)</f>
        <v>1</v>
      </c>
      <c r="P50" s="181">
        <f>RANK(iScoresRounded!P50,iScoresRounded!$N50:$BK50)</f>
        <v>35</v>
      </c>
      <c r="Q50" s="181">
        <f>RANK(iScoresRounded!Q50,iScoresRounded!$N50:$BK50)</f>
        <v>35</v>
      </c>
      <c r="R50" s="181">
        <f>RANK(iScoresRounded!R50,iScoresRounded!$N50:$BK50)</f>
        <v>1</v>
      </c>
      <c r="S50" s="181">
        <f>RANK(iScoresRounded!S50,iScoresRounded!$N50:$BK50)</f>
        <v>1</v>
      </c>
      <c r="T50" s="181">
        <f>RANK(iScoresRounded!T50,iScoresRounded!$N50:$BK50)</f>
        <v>1</v>
      </c>
      <c r="U50" s="181">
        <f>RANK(iScoresRounded!U50,iScoresRounded!$N50:$BK50)</f>
        <v>1</v>
      </c>
      <c r="V50" s="181">
        <f>RANK(iScoresRounded!V50,iScoresRounded!$N50:$BK50)</f>
        <v>1</v>
      </c>
      <c r="W50" s="181">
        <f>RANK(iScoresRounded!W50,iScoresRounded!$N50:$BK50)</f>
        <v>1</v>
      </c>
      <c r="X50" s="181">
        <f>RANK(iScoresRounded!X50,iScoresRounded!$N50:$BK50)</f>
        <v>1</v>
      </c>
      <c r="Y50" s="181">
        <f>RANK(iScoresRounded!Y50,iScoresRounded!$N50:$BK50)</f>
        <v>1</v>
      </c>
      <c r="Z50" s="181">
        <f>RANK(iScoresRounded!Z50,iScoresRounded!$N50:$BK50)</f>
        <v>35</v>
      </c>
      <c r="AA50" s="181">
        <f>RANK(iScoresRounded!AA50,iScoresRounded!$N50:$BK50)</f>
        <v>1</v>
      </c>
      <c r="AB50" s="181">
        <f>RANK(iScoresRounded!AB50,iScoresRounded!$N50:$BK50)</f>
        <v>1</v>
      </c>
      <c r="AC50" s="181">
        <f>RANK(iScoresRounded!AC50,iScoresRounded!$N50:$BK50)</f>
        <v>1</v>
      </c>
      <c r="AD50" s="181">
        <f>RANK(iScoresRounded!AD50,iScoresRounded!$N50:$BK50)</f>
        <v>1</v>
      </c>
      <c r="AE50" s="181">
        <f>RANK(iScoresRounded!AE50,iScoresRounded!$N50:$BK50)</f>
        <v>1</v>
      </c>
      <c r="AF50" s="181">
        <f>RANK(iScoresRounded!AF50,iScoresRounded!$N50:$BK50)</f>
        <v>1</v>
      </c>
      <c r="AG50" s="181">
        <f>RANK(iScoresRounded!AG50,iScoresRounded!$N50:$BK50)</f>
        <v>35</v>
      </c>
      <c r="AH50" s="181">
        <f>RANK(iScoresRounded!AH50,iScoresRounded!$N50:$BK50)</f>
        <v>35</v>
      </c>
      <c r="AI50" s="181">
        <f>RANK(iScoresRounded!AI50,iScoresRounded!$N50:$BK50)</f>
        <v>35</v>
      </c>
      <c r="AJ50" s="181">
        <f>RANK(iScoresRounded!AJ50,iScoresRounded!$N50:$BK50)</f>
        <v>35</v>
      </c>
      <c r="AK50" s="181">
        <f>RANK(iScoresRounded!AK50,iScoresRounded!$N50:$BK50)</f>
        <v>1</v>
      </c>
      <c r="AL50" s="181">
        <f>RANK(iScoresRounded!AL50,iScoresRounded!$N50:$BK50)</f>
        <v>1</v>
      </c>
      <c r="AM50" s="181">
        <f>RANK(iScoresRounded!AM50,iScoresRounded!$N50:$BK50)</f>
        <v>35</v>
      </c>
      <c r="AN50" s="181">
        <f>RANK(iScoresRounded!AN50,iScoresRounded!$N50:$BK50)</f>
        <v>35</v>
      </c>
      <c r="AO50" s="181">
        <f>RANK(iScoresRounded!AO50,iScoresRounded!$N50:$BK50)</f>
        <v>1</v>
      </c>
      <c r="AP50" s="181">
        <f>RANK(iScoresRounded!AP50,iScoresRounded!$N50:$BK50)</f>
        <v>1</v>
      </c>
      <c r="AQ50" s="181">
        <f>RANK(iScoresRounded!AQ50,iScoresRounded!$N50:$BK50)</f>
        <v>1</v>
      </c>
      <c r="AR50" s="181">
        <f>RANK(iScoresRounded!AR50,iScoresRounded!$N50:$BK50)</f>
        <v>35</v>
      </c>
      <c r="AS50" s="181">
        <f>RANK(iScoresRounded!AS50,iScoresRounded!$N50:$BK50)</f>
        <v>1</v>
      </c>
      <c r="AT50" s="181">
        <f>RANK(iScoresRounded!AT50,iScoresRounded!$N50:$BK50)</f>
        <v>35</v>
      </c>
      <c r="AU50" s="181">
        <f>RANK(iScoresRounded!AU50,iScoresRounded!$N50:$BK50)</f>
        <v>35</v>
      </c>
      <c r="AV50" s="181">
        <f>RANK(iScoresRounded!AV50,iScoresRounded!$N50:$BK50)</f>
        <v>1</v>
      </c>
      <c r="AW50" s="181">
        <f>RANK(iScoresRounded!AW50,iScoresRounded!$N50:$BK50)</f>
        <v>35</v>
      </c>
      <c r="AX50" s="181">
        <f>RANK(iScoresRounded!AX50,iScoresRounded!$N50:$BK50)</f>
        <v>1</v>
      </c>
      <c r="AY50" s="181">
        <f>RANK(iScoresRounded!AY50,iScoresRounded!$N50:$BK50)</f>
        <v>35</v>
      </c>
      <c r="AZ50" s="181">
        <f>RANK(iScoresRounded!AZ50,iScoresRounded!$N50:$BK50)</f>
        <v>1</v>
      </c>
      <c r="BA50" s="181">
        <f>RANK(iScoresRounded!BA50,iScoresRounded!$N50:$BK50)</f>
        <v>1</v>
      </c>
      <c r="BB50" s="181">
        <f>RANK(iScoresRounded!BB50,iScoresRounded!$N50:$BK50)</f>
        <v>1</v>
      </c>
      <c r="BC50" s="181">
        <f>RANK(iScoresRounded!BC50,iScoresRounded!$N50:$BK50)</f>
        <v>1</v>
      </c>
      <c r="BD50" s="181">
        <f>RANK(iScoresRounded!BD50,iScoresRounded!$N50:$BK50)</f>
        <v>1</v>
      </c>
      <c r="BE50" s="181">
        <f>RANK(iScoresRounded!BE50,iScoresRounded!$N50:$BK50)</f>
        <v>1</v>
      </c>
      <c r="BF50" s="181">
        <f>RANK(iScoresRounded!BF50,iScoresRounded!$N50:$BK50)</f>
        <v>35</v>
      </c>
      <c r="BG50" s="181">
        <f>RANK(iScoresRounded!BG50,iScoresRounded!$N50:$BK50)</f>
        <v>35</v>
      </c>
      <c r="BH50" s="181">
        <f>RANK(iScoresRounded!BH50,iScoresRounded!$N50:$BK50)</f>
        <v>1</v>
      </c>
      <c r="BI50" s="181">
        <f>RANK(iScoresRounded!BI50,iScoresRounded!$N50:$BK50)</f>
        <v>1</v>
      </c>
      <c r="BJ50" s="181">
        <f>RANK(iScoresRounded!BJ50,iScoresRounded!$N50:$BK50)</f>
        <v>1</v>
      </c>
      <c r="BK50" s="181">
        <f>RANK(iScoresRounded!BK50,iScoresRounded!$N50:$BK50)</f>
        <v>1</v>
      </c>
    </row>
    <row r="51" s="22" customFormat="1" spans="1:63">
      <c r="A51" s="24"/>
      <c r="B51" s="24"/>
      <c r="C51" s="24"/>
      <c r="D51" s="52"/>
      <c r="E51" s="52"/>
      <c r="F51" s="52"/>
      <c r="G51" s="52"/>
      <c r="H51" s="52"/>
      <c r="I51" s="52"/>
      <c r="J51" s="52"/>
      <c r="K51" s="54"/>
      <c r="L51" s="62" t="str">
        <f>tblIndicators!Z44</f>
        <v>4.1.2) Community-based patrolling</v>
      </c>
      <c r="M51" s="63"/>
      <c r="N51" s="181">
        <f>RANK(iScoresRounded!N51,iScoresRounded!$N51:$BK51)</f>
        <v>1</v>
      </c>
      <c r="O51" s="181">
        <f>RANK(iScoresRounded!O51,iScoresRounded!$N51:$BK51)</f>
        <v>1</v>
      </c>
      <c r="P51" s="181">
        <f>RANK(iScoresRounded!P51,iScoresRounded!$N51:$BK51)</f>
        <v>1</v>
      </c>
      <c r="Q51" s="181">
        <f>RANK(iScoresRounded!Q51,iScoresRounded!$N51:$BK51)</f>
        <v>1</v>
      </c>
      <c r="R51" s="181">
        <f>RANK(iScoresRounded!R51,iScoresRounded!$N51:$BK51)</f>
        <v>1</v>
      </c>
      <c r="S51" s="181">
        <f>RANK(iScoresRounded!S51,iScoresRounded!$N51:$BK51)</f>
        <v>1</v>
      </c>
      <c r="T51" s="181">
        <f>RANK(iScoresRounded!T51,iScoresRounded!$N51:$BK51)</f>
        <v>1</v>
      </c>
      <c r="U51" s="181">
        <f>RANK(iScoresRounded!U51,iScoresRounded!$N51:$BK51)</f>
        <v>1</v>
      </c>
      <c r="V51" s="181">
        <f>RANK(iScoresRounded!V51,iScoresRounded!$N51:$BK51)</f>
        <v>1</v>
      </c>
      <c r="W51" s="181">
        <f>RANK(iScoresRounded!W51,iScoresRounded!$N51:$BK51)</f>
        <v>1</v>
      </c>
      <c r="X51" s="181">
        <f>RANK(iScoresRounded!X51,iScoresRounded!$N51:$BK51)</f>
        <v>1</v>
      </c>
      <c r="Y51" s="181">
        <f>RANK(iScoresRounded!Y51,iScoresRounded!$N51:$BK51)</f>
        <v>1</v>
      </c>
      <c r="Z51" s="181">
        <f>RANK(iScoresRounded!Z51,iScoresRounded!$N51:$BK51)</f>
        <v>1</v>
      </c>
      <c r="AA51" s="181">
        <f>RANK(iScoresRounded!AA51,iScoresRounded!$N51:$BK51)</f>
        <v>1</v>
      </c>
      <c r="AB51" s="181">
        <f>RANK(iScoresRounded!AB51,iScoresRounded!$N51:$BK51)</f>
        <v>1</v>
      </c>
      <c r="AC51" s="181">
        <f>RANK(iScoresRounded!AC51,iScoresRounded!$N51:$BK51)</f>
        <v>1</v>
      </c>
      <c r="AD51" s="181">
        <f>RANK(iScoresRounded!AD51,iScoresRounded!$N51:$BK51)</f>
        <v>1</v>
      </c>
      <c r="AE51" s="181">
        <f>RANK(iScoresRounded!AE51,iScoresRounded!$N51:$BK51)</f>
        <v>1</v>
      </c>
      <c r="AF51" s="181">
        <f>RANK(iScoresRounded!AF51,iScoresRounded!$N51:$BK51)</f>
        <v>1</v>
      </c>
      <c r="AG51" s="181">
        <f>RANK(iScoresRounded!AG51,iScoresRounded!$N51:$BK51)</f>
        <v>1</v>
      </c>
      <c r="AH51" s="181">
        <f>RANK(iScoresRounded!AH51,iScoresRounded!$N51:$BK51)</f>
        <v>1</v>
      </c>
      <c r="AI51" s="181">
        <f>RANK(iScoresRounded!AI51,iScoresRounded!$N51:$BK51)</f>
        <v>1</v>
      </c>
      <c r="AJ51" s="181">
        <f>RANK(iScoresRounded!AJ51,iScoresRounded!$N51:$BK51)</f>
        <v>1</v>
      </c>
      <c r="AK51" s="181">
        <f>RANK(iScoresRounded!AK51,iScoresRounded!$N51:$BK51)</f>
        <v>1</v>
      </c>
      <c r="AL51" s="181">
        <f>RANK(iScoresRounded!AL51,iScoresRounded!$N51:$BK51)</f>
        <v>1</v>
      </c>
      <c r="AM51" s="181">
        <f>RANK(iScoresRounded!AM51,iScoresRounded!$N51:$BK51)</f>
        <v>1</v>
      </c>
      <c r="AN51" s="181">
        <f>RANK(iScoresRounded!AN51,iScoresRounded!$N51:$BK51)</f>
        <v>48</v>
      </c>
      <c r="AO51" s="181">
        <f>RANK(iScoresRounded!AO51,iScoresRounded!$N51:$BK51)</f>
        <v>1</v>
      </c>
      <c r="AP51" s="181">
        <f>RANK(iScoresRounded!AP51,iScoresRounded!$N51:$BK51)</f>
        <v>1</v>
      </c>
      <c r="AQ51" s="181">
        <f>RANK(iScoresRounded!AQ51,iScoresRounded!$N51:$BK51)</f>
        <v>1</v>
      </c>
      <c r="AR51" s="181">
        <f>RANK(iScoresRounded!AR51,iScoresRounded!$N51:$BK51)</f>
        <v>1</v>
      </c>
      <c r="AS51" s="181">
        <f>RANK(iScoresRounded!AS51,iScoresRounded!$N51:$BK51)</f>
        <v>1</v>
      </c>
      <c r="AT51" s="181">
        <f>RANK(iScoresRounded!AT51,iScoresRounded!$N51:$BK51)</f>
        <v>1</v>
      </c>
      <c r="AU51" s="181">
        <f>RANK(iScoresRounded!AU51,iScoresRounded!$N51:$BK51)</f>
        <v>1</v>
      </c>
      <c r="AV51" s="181">
        <f>RANK(iScoresRounded!AV51,iScoresRounded!$N51:$BK51)</f>
        <v>48</v>
      </c>
      <c r="AW51" s="181">
        <f>RANK(iScoresRounded!AW51,iScoresRounded!$N51:$BK51)</f>
        <v>1</v>
      </c>
      <c r="AX51" s="181">
        <f>RANK(iScoresRounded!AX51,iScoresRounded!$N51:$BK51)</f>
        <v>48</v>
      </c>
      <c r="AY51" s="181">
        <f>RANK(iScoresRounded!AY51,iScoresRounded!$N51:$BK51)</f>
        <v>1</v>
      </c>
      <c r="AZ51" s="181">
        <f>RANK(iScoresRounded!AZ51,iScoresRounded!$N51:$BK51)</f>
        <v>1</v>
      </c>
      <c r="BA51" s="181">
        <f>RANK(iScoresRounded!BA51,iScoresRounded!$N51:$BK51)</f>
        <v>1</v>
      </c>
      <c r="BB51" s="181">
        <f>RANK(iScoresRounded!BB51,iScoresRounded!$N51:$BK51)</f>
        <v>1</v>
      </c>
      <c r="BC51" s="181">
        <f>RANK(iScoresRounded!BC51,iScoresRounded!$N51:$BK51)</f>
        <v>1</v>
      </c>
      <c r="BD51" s="181">
        <f>RANK(iScoresRounded!BD51,iScoresRounded!$N51:$BK51)</f>
        <v>1</v>
      </c>
      <c r="BE51" s="181">
        <f>RANK(iScoresRounded!BE51,iScoresRounded!$N51:$BK51)</f>
        <v>1</v>
      </c>
      <c r="BF51" s="181">
        <f>RANK(iScoresRounded!BF51,iScoresRounded!$N51:$BK51)</f>
        <v>1</v>
      </c>
      <c r="BG51" s="181">
        <f>RANK(iScoresRounded!BG51,iScoresRounded!$N51:$BK51)</f>
        <v>1</v>
      </c>
      <c r="BH51" s="181">
        <f>RANK(iScoresRounded!BH51,iScoresRounded!$N51:$BK51)</f>
        <v>1</v>
      </c>
      <c r="BI51" s="181">
        <f>RANK(iScoresRounded!BI51,iScoresRounded!$N51:$BK51)</f>
        <v>1</v>
      </c>
      <c r="BJ51" s="181">
        <f>RANK(iScoresRounded!BJ51,iScoresRounded!$N51:$BK51)</f>
        <v>1</v>
      </c>
      <c r="BK51" s="181">
        <f>RANK(iScoresRounded!BK51,iScoresRounded!$N51:$BK51)</f>
        <v>1</v>
      </c>
    </row>
    <row r="52" s="22" customFormat="1" spans="1:63">
      <c r="A52" s="24"/>
      <c r="B52" s="24"/>
      <c r="C52" s="24"/>
      <c r="D52" s="52"/>
      <c r="E52" s="52"/>
      <c r="F52" s="52"/>
      <c r="G52" s="52"/>
      <c r="H52" s="52"/>
      <c r="I52" s="52"/>
      <c r="J52" s="52"/>
      <c r="K52" s="54"/>
      <c r="L52" s="62" t="str">
        <f>tblIndicators!Z45</f>
        <v>4.1.3) Availability of street-level crime data</v>
      </c>
      <c r="M52" s="63"/>
      <c r="N52" s="181">
        <f>RANK(iScoresRounded!N52,iScoresRounded!$N52:$BK52)</f>
        <v>1</v>
      </c>
      <c r="O52" s="181">
        <f>RANK(iScoresRounded!O52,iScoresRounded!$N52:$BK52)</f>
        <v>1</v>
      </c>
      <c r="P52" s="181">
        <f>RANK(iScoresRounded!P52,iScoresRounded!$N52:$BK52)</f>
        <v>34</v>
      </c>
      <c r="Q52" s="181">
        <f>RANK(iScoresRounded!Q52,iScoresRounded!$N52:$BK52)</f>
        <v>34</v>
      </c>
      <c r="R52" s="181">
        <f>RANK(iScoresRounded!R52,iScoresRounded!$N52:$BK52)</f>
        <v>1</v>
      </c>
      <c r="S52" s="181">
        <f>RANK(iScoresRounded!S52,iScoresRounded!$N52:$BK52)</f>
        <v>1</v>
      </c>
      <c r="T52" s="181">
        <f>RANK(iScoresRounded!T52,iScoresRounded!$N52:$BK52)</f>
        <v>1</v>
      </c>
      <c r="U52" s="181">
        <f>RANK(iScoresRounded!U52,iScoresRounded!$N52:$BK52)</f>
        <v>1</v>
      </c>
      <c r="V52" s="181">
        <f>RANK(iScoresRounded!V52,iScoresRounded!$N52:$BK52)</f>
        <v>1</v>
      </c>
      <c r="W52" s="181">
        <f>RANK(iScoresRounded!W52,iScoresRounded!$N52:$BK52)</f>
        <v>1</v>
      </c>
      <c r="X52" s="181">
        <f>RANK(iScoresRounded!X52,iScoresRounded!$N52:$BK52)</f>
        <v>34</v>
      </c>
      <c r="Y52" s="181">
        <f>RANK(iScoresRounded!Y52,iScoresRounded!$N52:$BK52)</f>
        <v>1</v>
      </c>
      <c r="Z52" s="181">
        <f>RANK(iScoresRounded!Z52,iScoresRounded!$N52:$BK52)</f>
        <v>34</v>
      </c>
      <c r="AA52" s="181">
        <f>RANK(iScoresRounded!AA52,iScoresRounded!$N52:$BK52)</f>
        <v>1</v>
      </c>
      <c r="AB52" s="181">
        <f>RANK(iScoresRounded!AB52,iScoresRounded!$N52:$BK52)</f>
        <v>1</v>
      </c>
      <c r="AC52" s="181">
        <f>RANK(iScoresRounded!AC52,iScoresRounded!$N52:$BK52)</f>
        <v>1</v>
      </c>
      <c r="AD52" s="181">
        <f>RANK(iScoresRounded!AD52,iScoresRounded!$N52:$BK52)</f>
        <v>1</v>
      </c>
      <c r="AE52" s="181">
        <f>RANK(iScoresRounded!AE52,iScoresRounded!$N52:$BK52)</f>
        <v>1</v>
      </c>
      <c r="AF52" s="181">
        <f>RANK(iScoresRounded!AF52,iScoresRounded!$N52:$BK52)</f>
        <v>34</v>
      </c>
      <c r="AG52" s="181">
        <f>RANK(iScoresRounded!AG52,iScoresRounded!$N52:$BK52)</f>
        <v>34</v>
      </c>
      <c r="AH52" s="181">
        <f>RANK(iScoresRounded!AH52,iScoresRounded!$N52:$BK52)</f>
        <v>34</v>
      </c>
      <c r="AI52" s="181">
        <f>RANK(iScoresRounded!AI52,iScoresRounded!$N52:$BK52)</f>
        <v>34</v>
      </c>
      <c r="AJ52" s="181">
        <f>RANK(iScoresRounded!AJ52,iScoresRounded!$N52:$BK52)</f>
        <v>34</v>
      </c>
      <c r="AK52" s="181">
        <f>RANK(iScoresRounded!AK52,iScoresRounded!$N52:$BK52)</f>
        <v>1</v>
      </c>
      <c r="AL52" s="181">
        <f>RANK(iScoresRounded!AL52,iScoresRounded!$N52:$BK52)</f>
        <v>34</v>
      </c>
      <c r="AM52" s="181">
        <f>RANK(iScoresRounded!AM52,iScoresRounded!$N52:$BK52)</f>
        <v>1</v>
      </c>
      <c r="AN52" s="181">
        <f>RANK(iScoresRounded!AN52,iScoresRounded!$N52:$BK52)</f>
        <v>34</v>
      </c>
      <c r="AO52" s="181">
        <f>RANK(iScoresRounded!AO52,iScoresRounded!$N52:$BK52)</f>
        <v>1</v>
      </c>
      <c r="AP52" s="181">
        <f>RANK(iScoresRounded!AP52,iScoresRounded!$N52:$BK52)</f>
        <v>1</v>
      </c>
      <c r="AQ52" s="181">
        <f>RANK(iScoresRounded!AQ52,iScoresRounded!$N52:$BK52)</f>
        <v>1</v>
      </c>
      <c r="AR52" s="181">
        <f>RANK(iScoresRounded!AR52,iScoresRounded!$N52:$BK52)</f>
        <v>34</v>
      </c>
      <c r="AS52" s="181">
        <f>RANK(iScoresRounded!AS52,iScoresRounded!$N52:$BK52)</f>
        <v>1</v>
      </c>
      <c r="AT52" s="181">
        <f>RANK(iScoresRounded!AT52,iScoresRounded!$N52:$BK52)</f>
        <v>1</v>
      </c>
      <c r="AU52" s="181">
        <f>RANK(iScoresRounded!AU52,iScoresRounded!$N52:$BK52)</f>
        <v>34</v>
      </c>
      <c r="AV52" s="181">
        <f>RANK(iScoresRounded!AV52,iScoresRounded!$N52:$BK52)</f>
        <v>34</v>
      </c>
      <c r="AW52" s="181">
        <f>RANK(iScoresRounded!AW52,iScoresRounded!$N52:$BK52)</f>
        <v>1</v>
      </c>
      <c r="AX52" s="181">
        <f>RANK(iScoresRounded!AX52,iScoresRounded!$N52:$BK52)</f>
        <v>34</v>
      </c>
      <c r="AY52" s="181">
        <f>RANK(iScoresRounded!AY52,iScoresRounded!$N52:$BK52)</f>
        <v>1</v>
      </c>
      <c r="AZ52" s="181">
        <f>RANK(iScoresRounded!AZ52,iScoresRounded!$N52:$BK52)</f>
        <v>34</v>
      </c>
      <c r="BA52" s="181">
        <f>RANK(iScoresRounded!BA52,iScoresRounded!$N52:$BK52)</f>
        <v>1</v>
      </c>
      <c r="BB52" s="181">
        <f>RANK(iScoresRounded!BB52,iScoresRounded!$N52:$BK52)</f>
        <v>1</v>
      </c>
      <c r="BC52" s="181">
        <f>RANK(iScoresRounded!BC52,iScoresRounded!$N52:$BK52)</f>
        <v>1</v>
      </c>
      <c r="BD52" s="181">
        <f>RANK(iScoresRounded!BD52,iScoresRounded!$N52:$BK52)</f>
        <v>1</v>
      </c>
      <c r="BE52" s="181">
        <f>RANK(iScoresRounded!BE52,iScoresRounded!$N52:$BK52)</f>
        <v>1</v>
      </c>
      <c r="BF52" s="181">
        <f>RANK(iScoresRounded!BF52,iScoresRounded!$N52:$BK52)</f>
        <v>34</v>
      </c>
      <c r="BG52" s="181">
        <f>RANK(iScoresRounded!BG52,iScoresRounded!$N52:$BK52)</f>
        <v>1</v>
      </c>
      <c r="BH52" s="181">
        <f>RANK(iScoresRounded!BH52,iScoresRounded!$N52:$BK52)</f>
        <v>1</v>
      </c>
      <c r="BI52" s="181">
        <f>RANK(iScoresRounded!BI52,iScoresRounded!$N52:$BK52)</f>
        <v>1</v>
      </c>
      <c r="BJ52" s="181">
        <f>RANK(iScoresRounded!BJ52,iScoresRounded!$N52:$BK52)</f>
        <v>1</v>
      </c>
      <c r="BK52" s="181">
        <f>RANK(iScoresRounded!BK52,iScoresRounded!$N52:$BK52)</f>
        <v>1</v>
      </c>
    </row>
    <row r="53" s="22" customFormat="1" spans="1:63">
      <c r="A53" s="24"/>
      <c r="B53" s="24"/>
      <c r="C53" s="24"/>
      <c r="D53" s="52"/>
      <c r="E53" s="52"/>
      <c r="F53" s="52"/>
      <c r="G53" s="52"/>
      <c r="H53" s="52"/>
      <c r="I53" s="52"/>
      <c r="J53" s="52"/>
      <c r="K53" s="54"/>
      <c r="L53" s="62" t="str">
        <f>tblIndicators!Z46</f>
        <v>4.1.4) Use of data-driven techniques for crime</v>
      </c>
      <c r="M53" s="63"/>
      <c r="N53" s="181">
        <f>RANK(iScoresRounded!N53,iScoresRounded!$N53:$BK53)</f>
        <v>1</v>
      </c>
      <c r="O53" s="181">
        <f>RANK(iScoresRounded!O53,iScoresRounded!$N53:$BK53)</f>
        <v>34</v>
      </c>
      <c r="P53" s="181">
        <f>RANK(iScoresRounded!P53,iScoresRounded!$N53:$BK53)</f>
        <v>1</v>
      </c>
      <c r="Q53" s="181">
        <f>RANK(iScoresRounded!Q53,iScoresRounded!$N53:$BK53)</f>
        <v>34</v>
      </c>
      <c r="R53" s="181">
        <f>RANK(iScoresRounded!R53,iScoresRounded!$N53:$BK53)</f>
        <v>34</v>
      </c>
      <c r="S53" s="181">
        <f>RANK(iScoresRounded!S53,iScoresRounded!$N53:$BK53)</f>
        <v>1</v>
      </c>
      <c r="T53" s="181">
        <f>RANK(iScoresRounded!T53,iScoresRounded!$N53:$BK53)</f>
        <v>1</v>
      </c>
      <c r="U53" s="181">
        <f>RANK(iScoresRounded!U53,iScoresRounded!$N53:$BK53)</f>
        <v>1</v>
      </c>
      <c r="V53" s="181">
        <f>RANK(iScoresRounded!V53,iScoresRounded!$N53:$BK53)</f>
        <v>34</v>
      </c>
      <c r="W53" s="181">
        <f>RANK(iScoresRounded!W53,iScoresRounded!$N53:$BK53)</f>
        <v>1</v>
      </c>
      <c r="X53" s="181">
        <f>RANK(iScoresRounded!X53,iScoresRounded!$N53:$BK53)</f>
        <v>1</v>
      </c>
      <c r="Y53" s="181">
        <f>RANK(iScoresRounded!Y53,iScoresRounded!$N53:$BK53)</f>
        <v>1</v>
      </c>
      <c r="Z53" s="181">
        <f>RANK(iScoresRounded!Z53,iScoresRounded!$N53:$BK53)</f>
        <v>1</v>
      </c>
      <c r="AA53" s="181">
        <f>RANK(iScoresRounded!AA53,iScoresRounded!$N53:$BK53)</f>
        <v>1</v>
      </c>
      <c r="AB53" s="181">
        <f>RANK(iScoresRounded!AB53,iScoresRounded!$N53:$BK53)</f>
        <v>1</v>
      </c>
      <c r="AC53" s="181">
        <f>RANK(iScoresRounded!AC53,iScoresRounded!$N53:$BK53)</f>
        <v>1</v>
      </c>
      <c r="AD53" s="181">
        <f>RANK(iScoresRounded!AD53,iScoresRounded!$N53:$BK53)</f>
        <v>1</v>
      </c>
      <c r="AE53" s="181">
        <f>RANK(iScoresRounded!AE53,iScoresRounded!$N53:$BK53)</f>
        <v>1</v>
      </c>
      <c r="AF53" s="181">
        <f>RANK(iScoresRounded!AF53,iScoresRounded!$N53:$BK53)</f>
        <v>34</v>
      </c>
      <c r="AG53" s="181">
        <f>RANK(iScoresRounded!AG53,iScoresRounded!$N53:$BK53)</f>
        <v>1</v>
      </c>
      <c r="AH53" s="181">
        <f>RANK(iScoresRounded!AH53,iScoresRounded!$N53:$BK53)</f>
        <v>34</v>
      </c>
      <c r="AI53" s="181">
        <f>RANK(iScoresRounded!AI53,iScoresRounded!$N53:$BK53)</f>
        <v>34</v>
      </c>
      <c r="AJ53" s="181">
        <f>RANK(iScoresRounded!AJ53,iScoresRounded!$N53:$BK53)</f>
        <v>34</v>
      </c>
      <c r="AK53" s="181">
        <f>RANK(iScoresRounded!AK53,iScoresRounded!$N53:$BK53)</f>
        <v>1</v>
      </c>
      <c r="AL53" s="181">
        <f>RANK(iScoresRounded!AL53,iScoresRounded!$N53:$BK53)</f>
        <v>1</v>
      </c>
      <c r="AM53" s="181">
        <f>RANK(iScoresRounded!AM53,iScoresRounded!$N53:$BK53)</f>
        <v>34</v>
      </c>
      <c r="AN53" s="181">
        <f>RANK(iScoresRounded!AN53,iScoresRounded!$N53:$BK53)</f>
        <v>1</v>
      </c>
      <c r="AO53" s="181">
        <f>RANK(iScoresRounded!AO53,iScoresRounded!$N53:$BK53)</f>
        <v>1</v>
      </c>
      <c r="AP53" s="181">
        <f>RANK(iScoresRounded!AP53,iScoresRounded!$N53:$BK53)</f>
        <v>1</v>
      </c>
      <c r="AQ53" s="181">
        <f>RANK(iScoresRounded!AQ53,iScoresRounded!$N53:$BK53)</f>
        <v>1</v>
      </c>
      <c r="AR53" s="181">
        <f>RANK(iScoresRounded!AR53,iScoresRounded!$N53:$BK53)</f>
        <v>1</v>
      </c>
      <c r="AS53" s="181">
        <f>RANK(iScoresRounded!AS53,iScoresRounded!$N53:$BK53)</f>
        <v>1</v>
      </c>
      <c r="AT53" s="181">
        <f>RANK(iScoresRounded!AT53,iScoresRounded!$N53:$BK53)</f>
        <v>1</v>
      </c>
      <c r="AU53" s="181">
        <f>RANK(iScoresRounded!AU53,iScoresRounded!$N53:$BK53)</f>
        <v>34</v>
      </c>
      <c r="AV53" s="181">
        <f>RANK(iScoresRounded!AV53,iScoresRounded!$N53:$BK53)</f>
        <v>34</v>
      </c>
      <c r="AW53" s="181">
        <f>RANK(iScoresRounded!AW53,iScoresRounded!$N53:$BK53)</f>
        <v>1</v>
      </c>
      <c r="AX53" s="181">
        <f>RANK(iScoresRounded!AX53,iScoresRounded!$N53:$BK53)</f>
        <v>1</v>
      </c>
      <c r="AY53" s="181">
        <f>RANK(iScoresRounded!AY53,iScoresRounded!$N53:$BK53)</f>
        <v>34</v>
      </c>
      <c r="AZ53" s="181">
        <f>RANK(iScoresRounded!AZ53,iScoresRounded!$N53:$BK53)</f>
        <v>34</v>
      </c>
      <c r="BA53" s="181">
        <f>RANK(iScoresRounded!BA53,iScoresRounded!$N53:$BK53)</f>
        <v>1</v>
      </c>
      <c r="BB53" s="181">
        <f>RANK(iScoresRounded!BB53,iScoresRounded!$N53:$BK53)</f>
        <v>1</v>
      </c>
      <c r="BC53" s="181">
        <f>RANK(iScoresRounded!BC53,iScoresRounded!$N53:$BK53)</f>
        <v>34</v>
      </c>
      <c r="BD53" s="181">
        <f>RANK(iScoresRounded!BD53,iScoresRounded!$N53:$BK53)</f>
        <v>1</v>
      </c>
      <c r="BE53" s="181">
        <f>RANK(iScoresRounded!BE53,iScoresRounded!$N53:$BK53)</f>
        <v>1</v>
      </c>
      <c r="BF53" s="181">
        <f>RANK(iScoresRounded!BF53,iScoresRounded!$N53:$BK53)</f>
        <v>34</v>
      </c>
      <c r="BG53" s="181">
        <f>RANK(iScoresRounded!BG53,iScoresRounded!$N53:$BK53)</f>
        <v>34</v>
      </c>
      <c r="BH53" s="181">
        <f>RANK(iScoresRounded!BH53,iScoresRounded!$N53:$BK53)</f>
        <v>1</v>
      </c>
      <c r="BI53" s="181">
        <f>RANK(iScoresRounded!BI53,iScoresRounded!$N53:$BK53)</f>
        <v>34</v>
      </c>
      <c r="BJ53" s="181">
        <f>RANK(iScoresRounded!BJ53,iScoresRounded!$N53:$BK53)</f>
        <v>1</v>
      </c>
      <c r="BK53" s="181">
        <f>RANK(iScoresRounded!BK53,iScoresRounded!$N53:$BK53)</f>
        <v>1</v>
      </c>
    </row>
    <row r="54" s="22" customFormat="1" spans="1:63">
      <c r="A54" s="24"/>
      <c r="B54" s="24"/>
      <c r="C54" s="24"/>
      <c r="D54" s="52"/>
      <c r="E54" s="52"/>
      <c r="F54" s="52"/>
      <c r="G54" s="52"/>
      <c r="H54" s="52"/>
      <c r="I54" s="52"/>
      <c r="J54" s="52"/>
      <c r="K54" s="54"/>
      <c r="L54" s="62" t="str">
        <f>tblIndicators!Z47</f>
        <v>4.1.5) Private security measures</v>
      </c>
      <c r="M54" s="63"/>
      <c r="N54" s="181">
        <f>RANK(iScoresRounded!N54,iScoresRounded!$N54:$BK54)</f>
        <v>1</v>
      </c>
      <c r="O54" s="181">
        <f>RANK(iScoresRounded!O54,iScoresRounded!$N54:$BK54)</f>
        <v>1</v>
      </c>
      <c r="P54" s="181">
        <f>RANK(iScoresRounded!P54,iScoresRounded!$N54:$BK54)</f>
        <v>1</v>
      </c>
      <c r="Q54" s="181">
        <f>RANK(iScoresRounded!Q54,iScoresRounded!$N54:$BK54)</f>
        <v>1</v>
      </c>
      <c r="R54" s="181">
        <f>RANK(iScoresRounded!R54,iScoresRounded!$N54:$BK54)</f>
        <v>1</v>
      </c>
      <c r="S54" s="181">
        <f>RANK(iScoresRounded!S54,iScoresRounded!$N54:$BK54)</f>
        <v>1</v>
      </c>
      <c r="T54" s="181">
        <f>RANK(iScoresRounded!T54,iScoresRounded!$N54:$BK54)</f>
        <v>1</v>
      </c>
      <c r="U54" s="181">
        <f>RANK(iScoresRounded!U54,iScoresRounded!$N54:$BK54)</f>
        <v>1</v>
      </c>
      <c r="V54" s="181">
        <f>RANK(iScoresRounded!V54,iScoresRounded!$N54:$BK54)</f>
        <v>37</v>
      </c>
      <c r="W54" s="181">
        <f>RANK(iScoresRounded!W54,iScoresRounded!$N54:$BK54)</f>
        <v>1</v>
      </c>
      <c r="X54" s="181">
        <f>RANK(iScoresRounded!X54,iScoresRounded!$N54:$BK54)</f>
        <v>1</v>
      </c>
      <c r="Y54" s="181">
        <f>RANK(iScoresRounded!Y54,iScoresRounded!$N54:$BK54)</f>
        <v>1</v>
      </c>
      <c r="Z54" s="181">
        <f>RANK(iScoresRounded!Z54,iScoresRounded!$N54:$BK54)</f>
        <v>37</v>
      </c>
      <c r="AA54" s="181">
        <f>RANK(iScoresRounded!AA54,iScoresRounded!$N54:$BK54)</f>
        <v>1</v>
      </c>
      <c r="AB54" s="181">
        <f>RANK(iScoresRounded!AB54,iScoresRounded!$N54:$BK54)</f>
        <v>1</v>
      </c>
      <c r="AC54" s="181">
        <f>RANK(iScoresRounded!AC54,iScoresRounded!$N54:$BK54)</f>
        <v>1</v>
      </c>
      <c r="AD54" s="181">
        <f>RANK(iScoresRounded!AD54,iScoresRounded!$N54:$BK54)</f>
        <v>1</v>
      </c>
      <c r="AE54" s="181">
        <f>RANK(iScoresRounded!AE54,iScoresRounded!$N54:$BK54)</f>
        <v>1</v>
      </c>
      <c r="AF54" s="181">
        <f>RANK(iScoresRounded!AF54,iScoresRounded!$N54:$BK54)</f>
        <v>37</v>
      </c>
      <c r="AG54" s="181">
        <f>RANK(iScoresRounded!AG54,iScoresRounded!$N54:$BK54)</f>
        <v>1</v>
      </c>
      <c r="AH54" s="181">
        <f>RANK(iScoresRounded!AH54,iScoresRounded!$N54:$BK54)</f>
        <v>1</v>
      </c>
      <c r="AI54" s="181">
        <f>RANK(iScoresRounded!AI54,iScoresRounded!$N54:$BK54)</f>
        <v>1</v>
      </c>
      <c r="AJ54" s="181">
        <f>RANK(iScoresRounded!AJ54,iScoresRounded!$N54:$BK54)</f>
        <v>1</v>
      </c>
      <c r="AK54" s="181">
        <f>RANK(iScoresRounded!AK54,iScoresRounded!$N54:$BK54)</f>
        <v>37</v>
      </c>
      <c r="AL54" s="181">
        <f>RANK(iScoresRounded!AL54,iScoresRounded!$N54:$BK54)</f>
        <v>1</v>
      </c>
      <c r="AM54" s="181">
        <f>RANK(iScoresRounded!AM54,iScoresRounded!$N54:$BK54)</f>
        <v>37</v>
      </c>
      <c r="AN54" s="181">
        <f>RANK(iScoresRounded!AN54,iScoresRounded!$N54:$BK54)</f>
        <v>1</v>
      </c>
      <c r="AO54" s="181">
        <f>RANK(iScoresRounded!AO54,iScoresRounded!$N54:$BK54)</f>
        <v>1</v>
      </c>
      <c r="AP54" s="181">
        <f>RANK(iScoresRounded!AP54,iScoresRounded!$N54:$BK54)</f>
        <v>1</v>
      </c>
      <c r="AQ54" s="181">
        <f>RANK(iScoresRounded!AQ54,iScoresRounded!$N54:$BK54)</f>
        <v>1</v>
      </c>
      <c r="AR54" s="181">
        <f>RANK(iScoresRounded!AR54,iScoresRounded!$N54:$BK54)</f>
        <v>1</v>
      </c>
      <c r="AS54" s="181">
        <f>RANK(iScoresRounded!AS54,iScoresRounded!$N54:$BK54)</f>
        <v>1</v>
      </c>
      <c r="AT54" s="181">
        <f>RANK(iScoresRounded!AT54,iScoresRounded!$N54:$BK54)</f>
        <v>1</v>
      </c>
      <c r="AU54" s="181">
        <f>RANK(iScoresRounded!AU54,iScoresRounded!$N54:$BK54)</f>
        <v>1</v>
      </c>
      <c r="AV54" s="181">
        <f>RANK(iScoresRounded!AV54,iScoresRounded!$N54:$BK54)</f>
        <v>37</v>
      </c>
      <c r="AW54" s="181">
        <f>RANK(iScoresRounded!AW54,iScoresRounded!$N54:$BK54)</f>
        <v>1</v>
      </c>
      <c r="AX54" s="181">
        <f>RANK(iScoresRounded!AX54,iScoresRounded!$N54:$BK54)</f>
        <v>37</v>
      </c>
      <c r="AY54" s="181">
        <f>RANK(iScoresRounded!AY54,iScoresRounded!$N54:$BK54)</f>
        <v>37</v>
      </c>
      <c r="AZ54" s="181">
        <f>RANK(iScoresRounded!AZ54,iScoresRounded!$N54:$BK54)</f>
        <v>37</v>
      </c>
      <c r="BA54" s="181">
        <f>RANK(iScoresRounded!BA54,iScoresRounded!$N54:$BK54)</f>
        <v>37</v>
      </c>
      <c r="BB54" s="181">
        <f>RANK(iScoresRounded!BB54,iScoresRounded!$N54:$BK54)</f>
        <v>37</v>
      </c>
      <c r="BC54" s="181">
        <f>RANK(iScoresRounded!BC54,iScoresRounded!$N54:$BK54)</f>
        <v>37</v>
      </c>
      <c r="BD54" s="181">
        <f>RANK(iScoresRounded!BD54,iScoresRounded!$N54:$BK54)</f>
        <v>37</v>
      </c>
      <c r="BE54" s="181">
        <f>RANK(iScoresRounded!BE54,iScoresRounded!$N54:$BK54)</f>
        <v>1</v>
      </c>
      <c r="BF54" s="181">
        <f>RANK(iScoresRounded!BF54,iScoresRounded!$N54:$BK54)</f>
        <v>37</v>
      </c>
      <c r="BG54" s="181">
        <f>RANK(iScoresRounded!BG54,iScoresRounded!$N54:$BK54)</f>
        <v>1</v>
      </c>
      <c r="BH54" s="181">
        <f>RANK(iScoresRounded!BH54,iScoresRounded!$N54:$BK54)</f>
        <v>1</v>
      </c>
      <c r="BI54" s="181">
        <f>RANK(iScoresRounded!BI54,iScoresRounded!$N54:$BK54)</f>
        <v>1</v>
      </c>
      <c r="BJ54" s="181">
        <f>RANK(iScoresRounded!BJ54,iScoresRounded!$N54:$BK54)</f>
        <v>1</v>
      </c>
      <c r="BK54" s="181">
        <f>RANK(iScoresRounded!BK54,iScoresRounded!$N54:$BK54)</f>
        <v>1</v>
      </c>
    </row>
    <row r="55" s="22" customFormat="1" spans="1:63">
      <c r="A55" s="24"/>
      <c r="B55" s="24"/>
      <c r="C55" s="24"/>
      <c r="D55" s="52"/>
      <c r="E55" s="52"/>
      <c r="F55" s="52"/>
      <c r="G55" s="52"/>
      <c r="H55" s="52"/>
      <c r="I55" s="52"/>
      <c r="J55" s="52"/>
      <c r="K55" s="54"/>
      <c r="L55" s="62" t="str">
        <f>tblIndicators!Z48</f>
        <v>4.1.6) Gun regulation and enforcement</v>
      </c>
      <c r="M55" s="63"/>
      <c r="N55" s="181">
        <f>RANK(iScoresRounded!N55,iScoresRounded!$N55:$BK55)</f>
        <v>28</v>
      </c>
      <c r="O55" s="181">
        <f>RANK(iScoresRounded!O55,iScoresRounded!$N55:$BK55)</f>
        <v>47</v>
      </c>
      <c r="P55" s="181">
        <f>RANK(iScoresRounded!P55,iScoresRounded!$N55:$BK55)</f>
        <v>19</v>
      </c>
      <c r="Q55" s="181">
        <f>RANK(iScoresRounded!Q55,iScoresRounded!$N55:$BK55)</f>
        <v>30</v>
      </c>
      <c r="R55" s="181">
        <f>RANK(iScoresRounded!R55,iScoresRounded!$N55:$BK55)</f>
        <v>30</v>
      </c>
      <c r="S55" s="181">
        <f>RANK(iScoresRounded!S55,iScoresRounded!$N55:$BK55)</f>
        <v>38</v>
      </c>
      <c r="T55" s="181">
        <f>RANK(iScoresRounded!T55,iScoresRounded!$N55:$BK55)</f>
        <v>38</v>
      </c>
      <c r="U55" s="181">
        <f>RANK(iScoresRounded!U55,iScoresRounded!$N55:$BK55)</f>
        <v>23</v>
      </c>
      <c r="V55" s="181">
        <f>RANK(iScoresRounded!V55,iScoresRounded!$N55:$BK55)</f>
        <v>23</v>
      </c>
      <c r="W55" s="181">
        <f>RANK(iScoresRounded!W55,iScoresRounded!$N55:$BK55)</f>
        <v>42</v>
      </c>
      <c r="X55" s="181">
        <f>RANK(iScoresRounded!X55,iScoresRounded!$N55:$BK55)</f>
        <v>38</v>
      </c>
      <c r="Y55" s="181">
        <f>RANK(iScoresRounded!Y55,iScoresRounded!$N55:$BK55)</f>
        <v>47</v>
      </c>
      <c r="Z55" s="181">
        <f>RANK(iScoresRounded!Z55,iScoresRounded!$N55:$BK55)</f>
        <v>45</v>
      </c>
      <c r="AA55" s="181">
        <f>RANK(iScoresRounded!AA55,iScoresRounded!$N55:$BK55)</f>
        <v>44</v>
      </c>
      <c r="AB55" s="181">
        <f>RANK(iScoresRounded!AB55,iScoresRounded!$N55:$BK55)</f>
        <v>14</v>
      </c>
      <c r="AC55" s="181">
        <f>RANK(iScoresRounded!AC55,iScoresRounded!$N55:$BK55)</f>
        <v>14</v>
      </c>
      <c r="AD55" s="181">
        <f>RANK(iScoresRounded!AD55,iScoresRounded!$N55:$BK55)</f>
        <v>14</v>
      </c>
      <c r="AE55" s="181">
        <f>RANK(iScoresRounded!AE55,iScoresRounded!$N55:$BK55)</f>
        <v>9</v>
      </c>
      <c r="AF55" s="181">
        <f>RANK(iScoresRounded!AF55,iScoresRounded!$N55:$BK55)</f>
        <v>1</v>
      </c>
      <c r="AG55" s="181">
        <f>RANK(iScoresRounded!AG55,iScoresRounded!$N55:$BK55)</f>
        <v>1</v>
      </c>
      <c r="AH55" s="181">
        <f>RANK(iScoresRounded!AH55,iScoresRounded!$N55:$BK55)</f>
        <v>1</v>
      </c>
      <c r="AI55" s="181">
        <f>RANK(iScoresRounded!AI55,iScoresRounded!$N55:$BK55)</f>
        <v>1</v>
      </c>
      <c r="AJ55" s="181">
        <f>RANK(iScoresRounded!AJ55,iScoresRounded!$N55:$BK55)</f>
        <v>1</v>
      </c>
      <c r="AK55" s="181">
        <f>RANK(iScoresRounded!AK55,iScoresRounded!$N55:$BK55)</f>
        <v>35</v>
      </c>
      <c r="AL55" s="181">
        <f>RANK(iScoresRounded!AL55,iScoresRounded!$N55:$BK55)</f>
        <v>35</v>
      </c>
      <c r="AM55" s="181">
        <f>RANK(iScoresRounded!AM55,iScoresRounded!$N55:$BK55)</f>
        <v>18</v>
      </c>
      <c r="AN55" s="181">
        <f>RANK(iScoresRounded!AN55,iScoresRounded!$N55:$BK55)</f>
        <v>32</v>
      </c>
      <c r="AO55" s="181">
        <f>RANK(iScoresRounded!AO55,iScoresRounded!$N55:$BK55)</f>
        <v>9</v>
      </c>
      <c r="AP55" s="181">
        <f>RANK(iScoresRounded!AP55,iScoresRounded!$N55:$BK55)</f>
        <v>9</v>
      </c>
      <c r="AQ55" s="181">
        <f>RANK(iScoresRounded!AQ55,iScoresRounded!$N55:$BK55)</f>
        <v>9</v>
      </c>
      <c r="AR55" s="181">
        <f>RANK(iScoresRounded!AR55,iScoresRounded!$N55:$BK55)</f>
        <v>14</v>
      </c>
      <c r="AS55" s="181">
        <f>RANK(iScoresRounded!AS55,iScoresRounded!$N55:$BK55)</f>
        <v>8</v>
      </c>
      <c r="AT55" s="181">
        <f>RANK(iScoresRounded!AT55,iScoresRounded!$N55:$BK55)</f>
        <v>42</v>
      </c>
      <c r="AU55" s="181">
        <f>RANK(iScoresRounded!AU55,iScoresRounded!$N55:$BK55)</f>
        <v>1</v>
      </c>
      <c r="AV55" s="181">
        <f>RANK(iScoresRounded!AV55,iScoresRounded!$N55:$BK55)</f>
        <v>7</v>
      </c>
      <c r="AW55" s="181">
        <f>RANK(iScoresRounded!AW55,iScoresRounded!$N55:$BK55)</f>
        <v>23</v>
      </c>
      <c r="AX55" s="181">
        <f>RANK(iScoresRounded!AX55,iScoresRounded!$N55:$BK55)</f>
        <v>50</v>
      </c>
      <c r="AY55" s="181">
        <f>RANK(iScoresRounded!AY55,iScoresRounded!$N55:$BK55)</f>
        <v>37</v>
      </c>
      <c r="AZ55" s="181">
        <f>RANK(iScoresRounded!AZ55,iScoresRounded!$N55:$BK55)</f>
        <v>26</v>
      </c>
      <c r="BA55" s="181">
        <f>RANK(iScoresRounded!BA55,iScoresRounded!$N55:$BK55)</f>
        <v>41</v>
      </c>
      <c r="BB55" s="181">
        <f>RANK(iScoresRounded!BB55,iScoresRounded!$N55:$BK55)</f>
        <v>28</v>
      </c>
      <c r="BC55" s="181">
        <f>RANK(iScoresRounded!BC55,iScoresRounded!$N55:$BK55)</f>
        <v>32</v>
      </c>
      <c r="BD55" s="181">
        <f>RANK(iScoresRounded!BD55,iScoresRounded!$N55:$BK55)</f>
        <v>32</v>
      </c>
      <c r="BE55" s="181">
        <f>RANK(iScoresRounded!BE55,iScoresRounded!$N55:$BK55)</f>
        <v>19</v>
      </c>
      <c r="BF55" s="181">
        <f>RANK(iScoresRounded!BF55,iScoresRounded!$N55:$BK55)</f>
        <v>26</v>
      </c>
      <c r="BG55" s="181">
        <f>RANK(iScoresRounded!BG55,iScoresRounded!$N55:$BK55)</f>
        <v>21</v>
      </c>
      <c r="BH55" s="181">
        <f>RANK(iScoresRounded!BH55,iScoresRounded!$N55:$BK55)</f>
        <v>21</v>
      </c>
      <c r="BI55" s="181">
        <f>RANK(iScoresRounded!BI55,iScoresRounded!$N55:$BK55)</f>
        <v>47</v>
      </c>
      <c r="BJ55" s="181">
        <f>RANK(iScoresRounded!BJ55,iScoresRounded!$N55:$BK55)</f>
        <v>46</v>
      </c>
      <c r="BK55" s="181">
        <f>RANK(iScoresRounded!BK55,iScoresRounded!$N55:$BK55)</f>
        <v>9</v>
      </c>
    </row>
    <row r="56" s="22" customFormat="1" spans="1:63">
      <c r="A56" s="24"/>
      <c r="B56" s="24"/>
      <c r="C56" s="24"/>
      <c r="D56" s="52"/>
      <c r="E56" s="52"/>
      <c r="F56" s="52"/>
      <c r="G56" s="52"/>
      <c r="H56" s="52"/>
      <c r="I56" s="52"/>
      <c r="J56" s="52"/>
      <c r="K56" s="54"/>
      <c r="L56" s="62" t="str">
        <f>tblIndicators!Z49</f>
        <v>4.1.7) Political Stability Risk</v>
      </c>
      <c r="M56" s="63"/>
      <c r="N56" s="181">
        <f>RANK(iScoresRounded!N56,iScoresRounded!$N56:$BK56)</f>
        <v>47</v>
      </c>
      <c r="O56" s="181">
        <f>RANK(iScoresRounded!O56,iScoresRounded!$N56:$BK56)</f>
        <v>26</v>
      </c>
      <c r="P56" s="181">
        <f>RANK(iScoresRounded!P56,iScoresRounded!$N56:$BK56)</f>
        <v>38</v>
      </c>
      <c r="Q56" s="181">
        <f>RANK(iScoresRounded!Q56,iScoresRounded!$N56:$BK56)</f>
        <v>26</v>
      </c>
      <c r="R56" s="181">
        <f>RANK(iScoresRounded!R56,iScoresRounded!$N56:$BK56)</f>
        <v>26</v>
      </c>
      <c r="S56" s="181">
        <f>RANK(iScoresRounded!S56,iScoresRounded!$N56:$BK56)</f>
        <v>3</v>
      </c>
      <c r="T56" s="181">
        <f>RANK(iScoresRounded!T56,iScoresRounded!$N56:$BK56)</f>
        <v>3</v>
      </c>
      <c r="U56" s="181">
        <f>RANK(iScoresRounded!U56,iScoresRounded!$N56:$BK56)</f>
        <v>1</v>
      </c>
      <c r="V56" s="181">
        <f>RANK(iScoresRounded!V56,iScoresRounded!$N56:$BK56)</f>
        <v>1</v>
      </c>
      <c r="W56" s="181">
        <f>RANK(iScoresRounded!W56,iScoresRounded!$N56:$BK56)</f>
        <v>3</v>
      </c>
      <c r="X56" s="181">
        <f>RANK(iScoresRounded!X56,iScoresRounded!$N56:$BK56)</f>
        <v>32</v>
      </c>
      <c r="Y56" s="181">
        <f>RANK(iScoresRounded!Y56,iScoresRounded!$N56:$BK56)</f>
        <v>35</v>
      </c>
      <c r="Z56" s="181">
        <f>RANK(iScoresRounded!Z56,iScoresRounded!$N56:$BK56)</f>
        <v>14</v>
      </c>
      <c r="AA56" s="181">
        <f>RANK(iScoresRounded!AA56,iScoresRounded!$N56:$BK56)</f>
        <v>3</v>
      </c>
      <c r="AB56" s="181">
        <f>RANK(iScoresRounded!AB56,iScoresRounded!$N56:$BK56)</f>
        <v>3</v>
      </c>
      <c r="AC56" s="181">
        <f>RANK(iScoresRounded!AC56,iScoresRounded!$N56:$BK56)</f>
        <v>3</v>
      </c>
      <c r="AD56" s="181">
        <f>RANK(iScoresRounded!AD56,iScoresRounded!$N56:$BK56)</f>
        <v>3</v>
      </c>
      <c r="AE56" s="181">
        <f>RANK(iScoresRounded!AE56,iScoresRounded!$N56:$BK56)</f>
        <v>26</v>
      </c>
      <c r="AF56" s="181">
        <f>RANK(iScoresRounded!AF56,iScoresRounded!$N56:$BK56)</f>
        <v>38</v>
      </c>
      <c r="AG56" s="181">
        <f>RANK(iScoresRounded!AG56,iScoresRounded!$N56:$BK56)</f>
        <v>38</v>
      </c>
      <c r="AH56" s="181">
        <f>RANK(iScoresRounded!AH56,iScoresRounded!$N56:$BK56)</f>
        <v>38</v>
      </c>
      <c r="AI56" s="181">
        <f>RANK(iScoresRounded!AI56,iScoresRounded!$N56:$BK56)</f>
        <v>38</v>
      </c>
      <c r="AJ56" s="181">
        <f>RANK(iScoresRounded!AJ56,iScoresRounded!$N56:$BK56)</f>
        <v>38</v>
      </c>
      <c r="AK56" s="181">
        <f>RANK(iScoresRounded!AK56,iScoresRounded!$N56:$BK56)</f>
        <v>14</v>
      </c>
      <c r="AL56" s="181">
        <f>RANK(iScoresRounded!AL56,iScoresRounded!$N56:$BK56)</f>
        <v>14</v>
      </c>
      <c r="AM56" s="181">
        <f>RANK(iScoresRounded!AM56,iScoresRounded!$N56:$BK56)</f>
        <v>22</v>
      </c>
      <c r="AN56" s="181">
        <f>RANK(iScoresRounded!AN56,iScoresRounded!$N56:$BK56)</f>
        <v>50</v>
      </c>
      <c r="AO56" s="181">
        <f>RANK(iScoresRounded!AO56,iScoresRounded!$N56:$BK56)</f>
        <v>3</v>
      </c>
      <c r="AP56" s="181">
        <f>RANK(iScoresRounded!AP56,iScoresRounded!$N56:$BK56)</f>
        <v>3</v>
      </c>
      <c r="AQ56" s="181">
        <f>RANK(iScoresRounded!AQ56,iScoresRounded!$N56:$BK56)</f>
        <v>14</v>
      </c>
      <c r="AR56" s="181">
        <f>RANK(iScoresRounded!AR56,iScoresRounded!$N56:$BK56)</f>
        <v>32</v>
      </c>
      <c r="AS56" s="181">
        <f>RANK(iScoresRounded!AS56,iScoresRounded!$N56:$BK56)</f>
        <v>22</v>
      </c>
      <c r="AT56" s="181">
        <f>RANK(iScoresRounded!AT56,iScoresRounded!$N56:$BK56)</f>
        <v>47</v>
      </c>
      <c r="AU56" s="181">
        <f>RANK(iScoresRounded!AU56,iScoresRounded!$N56:$BK56)</f>
        <v>37</v>
      </c>
      <c r="AV56" s="181">
        <f>RANK(iScoresRounded!AV56,iScoresRounded!$N56:$BK56)</f>
        <v>46</v>
      </c>
      <c r="AW56" s="181">
        <f>RANK(iScoresRounded!AW56,iScoresRounded!$N56:$BK56)</f>
        <v>32</v>
      </c>
      <c r="AX56" s="181">
        <f>RANK(iScoresRounded!AX56,iScoresRounded!$N56:$BK56)</f>
        <v>38</v>
      </c>
      <c r="AY56" s="181">
        <f>RANK(iScoresRounded!AY56,iScoresRounded!$N56:$BK56)</f>
        <v>35</v>
      </c>
      <c r="AZ56" s="181">
        <f>RANK(iScoresRounded!AZ56,iScoresRounded!$N56:$BK56)</f>
        <v>19</v>
      </c>
      <c r="BA56" s="181">
        <f>RANK(iScoresRounded!BA56,iScoresRounded!$N56:$BK56)</f>
        <v>22</v>
      </c>
      <c r="BB56" s="181">
        <f>RANK(iScoresRounded!BB56,iScoresRounded!$N56:$BK56)</f>
        <v>13</v>
      </c>
      <c r="BC56" s="181">
        <f>RANK(iScoresRounded!BC56,iScoresRounded!$N56:$BK56)</f>
        <v>26</v>
      </c>
      <c r="BD56" s="181">
        <f>RANK(iScoresRounded!BD56,iScoresRounded!$N56:$BK56)</f>
        <v>26</v>
      </c>
      <c r="BE56" s="181">
        <f>RANK(iScoresRounded!BE56,iScoresRounded!$N56:$BK56)</f>
        <v>14</v>
      </c>
      <c r="BF56" s="181">
        <f>RANK(iScoresRounded!BF56,iScoresRounded!$N56:$BK56)</f>
        <v>47</v>
      </c>
      <c r="BG56" s="181">
        <f>RANK(iScoresRounded!BG56,iScoresRounded!$N56:$BK56)</f>
        <v>19</v>
      </c>
      <c r="BH56" s="181">
        <f>RANK(iScoresRounded!BH56,iScoresRounded!$N56:$BK56)</f>
        <v>19</v>
      </c>
      <c r="BI56" s="181">
        <f>RANK(iScoresRounded!BI56,iScoresRounded!$N56:$BK56)</f>
        <v>3</v>
      </c>
      <c r="BJ56" s="181">
        <f>RANK(iScoresRounded!BJ56,iScoresRounded!$N56:$BK56)</f>
        <v>38</v>
      </c>
      <c r="BK56" s="181">
        <f>RANK(iScoresRounded!BK56,iScoresRounded!$N56:$BK56)</f>
        <v>22</v>
      </c>
    </row>
    <row r="57" s="22" customFormat="1" spans="1:63">
      <c r="A57" s="24"/>
      <c r="B57" s="24"/>
      <c r="C57" s="24"/>
      <c r="D57" s="52"/>
      <c r="E57" s="52"/>
      <c r="F57" s="52"/>
      <c r="G57" s="52"/>
      <c r="H57" s="52"/>
      <c r="I57" s="52"/>
      <c r="J57" s="52"/>
      <c r="K57" s="54"/>
      <c r="L57" s="62" t="str">
        <f>tblIndicators!Z50</f>
        <v>4.2) Personal Safety (Outputs)</v>
      </c>
      <c r="M57" s="63"/>
      <c r="N57" s="181">
        <f>RANK(iScoresRounded!N57,iScoresRounded!$N57:$BK57)</f>
        <v>1</v>
      </c>
      <c r="O57" s="181">
        <f>RANK(iScoresRounded!O57,iScoresRounded!$N57:$BK57)</f>
        <v>45</v>
      </c>
      <c r="P57" s="181">
        <f>RANK(iScoresRounded!P57,iScoresRounded!$N57:$BK57)</f>
        <v>42</v>
      </c>
      <c r="Q57" s="181">
        <f>RANK(iScoresRounded!Q57,iScoresRounded!$N57:$BK57)</f>
        <v>34</v>
      </c>
      <c r="R57" s="181">
        <f>RANK(iScoresRounded!R57,iScoresRounded!$N57:$BK57)</f>
        <v>41</v>
      </c>
      <c r="S57" s="181">
        <f>RANK(iScoresRounded!S57,iScoresRounded!$N57:$BK57)</f>
        <v>47</v>
      </c>
      <c r="T57" s="181">
        <f>RANK(iScoresRounded!T57,iScoresRounded!$N57:$BK57)</f>
        <v>44</v>
      </c>
      <c r="U57" s="181">
        <f>RANK(iScoresRounded!U57,iScoresRounded!$N57:$BK57)</f>
        <v>12</v>
      </c>
      <c r="V57" s="181">
        <f>RANK(iScoresRounded!V57,iScoresRounded!$N57:$BK57)</f>
        <v>17</v>
      </c>
      <c r="W57" s="181">
        <f>RANK(iScoresRounded!W57,iScoresRounded!$N57:$BK57)</f>
        <v>48</v>
      </c>
      <c r="X57" s="181">
        <f>RANK(iScoresRounded!X57,iScoresRounded!$N57:$BK57)</f>
        <v>49</v>
      </c>
      <c r="Y57" s="181">
        <f>RANK(iScoresRounded!Y57,iScoresRounded!$N57:$BK57)</f>
        <v>24</v>
      </c>
      <c r="Z57" s="181">
        <f>RANK(iScoresRounded!Z57,iScoresRounded!$N57:$BK57)</f>
        <v>43</v>
      </c>
      <c r="AA57" s="181">
        <f>RANK(iScoresRounded!AA57,iScoresRounded!$N57:$BK57)</f>
        <v>50</v>
      </c>
      <c r="AB57" s="181">
        <f>RANK(iScoresRounded!AB57,iScoresRounded!$N57:$BK57)</f>
        <v>46</v>
      </c>
      <c r="AC57" s="181">
        <f>RANK(iScoresRounded!AC57,iScoresRounded!$N57:$BK57)</f>
        <v>31</v>
      </c>
      <c r="AD57" s="181">
        <f>RANK(iScoresRounded!AD57,iScoresRounded!$N57:$BK57)</f>
        <v>21</v>
      </c>
      <c r="AE57" s="181">
        <f>RANK(iScoresRounded!AE57,iScoresRounded!$N57:$BK57)</f>
        <v>10</v>
      </c>
      <c r="AF57" s="181">
        <f>RANK(iScoresRounded!AF57,iScoresRounded!$N57:$BK57)</f>
        <v>38</v>
      </c>
      <c r="AG57" s="181">
        <f>RANK(iScoresRounded!AG57,iScoresRounded!$N57:$BK57)</f>
        <v>33</v>
      </c>
      <c r="AH57" s="181">
        <f>RANK(iScoresRounded!AH57,iScoresRounded!$N57:$BK57)</f>
        <v>28</v>
      </c>
      <c r="AI57" s="181">
        <f>RANK(iScoresRounded!AI57,iScoresRounded!$N57:$BK57)</f>
        <v>36</v>
      </c>
      <c r="AJ57" s="181">
        <f>RANK(iScoresRounded!AJ57,iScoresRounded!$N57:$BK57)</f>
        <v>25</v>
      </c>
      <c r="AK57" s="181">
        <f>RANK(iScoresRounded!AK57,iScoresRounded!$N57:$BK57)</f>
        <v>18</v>
      </c>
      <c r="AL57" s="181">
        <f>RANK(iScoresRounded!AL57,iScoresRounded!$N57:$BK57)</f>
        <v>22</v>
      </c>
      <c r="AM57" s="181">
        <f>RANK(iScoresRounded!AM57,iScoresRounded!$N57:$BK57)</f>
        <v>37</v>
      </c>
      <c r="AN57" s="181">
        <f>RANK(iScoresRounded!AN57,iScoresRounded!$N57:$BK57)</f>
        <v>30</v>
      </c>
      <c r="AO57" s="181">
        <f>RANK(iScoresRounded!AO57,iScoresRounded!$N57:$BK57)</f>
        <v>7</v>
      </c>
      <c r="AP57" s="181">
        <f>RANK(iScoresRounded!AP57,iScoresRounded!$N57:$BK57)</f>
        <v>6</v>
      </c>
      <c r="AQ57" s="181">
        <f>RANK(iScoresRounded!AQ57,iScoresRounded!$N57:$BK57)</f>
        <v>2</v>
      </c>
      <c r="AR57" s="181">
        <f>RANK(iScoresRounded!AR57,iScoresRounded!$N57:$BK57)</f>
        <v>9</v>
      </c>
      <c r="AS57" s="181">
        <f>RANK(iScoresRounded!AS57,iScoresRounded!$N57:$BK57)</f>
        <v>11</v>
      </c>
      <c r="AT57" s="181">
        <f>RANK(iScoresRounded!AT57,iScoresRounded!$N57:$BK57)</f>
        <v>29</v>
      </c>
      <c r="AU57" s="181">
        <f>RANK(iScoresRounded!AU57,iScoresRounded!$N57:$BK57)</f>
        <v>14</v>
      </c>
      <c r="AV57" s="181">
        <f>RANK(iScoresRounded!AV57,iScoresRounded!$N57:$BK57)</f>
        <v>4</v>
      </c>
      <c r="AW57" s="181">
        <f>RANK(iScoresRounded!AW57,iScoresRounded!$N57:$BK57)</f>
        <v>20</v>
      </c>
      <c r="AX57" s="181">
        <f>RANK(iScoresRounded!AX57,iScoresRounded!$N57:$BK57)</f>
        <v>3</v>
      </c>
      <c r="AY57" s="181">
        <f>RANK(iScoresRounded!AY57,iScoresRounded!$N57:$BK57)</f>
        <v>5</v>
      </c>
      <c r="AZ57" s="181">
        <f>RANK(iScoresRounded!AZ57,iScoresRounded!$N57:$BK57)</f>
        <v>15</v>
      </c>
      <c r="BA57" s="181">
        <f>RANK(iScoresRounded!BA57,iScoresRounded!$N57:$BK57)</f>
        <v>23</v>
      </c>
      <c r="BB57" s="181">
        <f>RANK(iScoresRounded!BB57,iScoresRounded!$N57:$BK57)</f>
        <v>18</v>
      </c>
      <c r="BC57" s="181">
        <f>RANK(iScoresRounded!BC57,iScoresRounded!$N57:$BK57)</f>
        <v>35</v>
      </c>
      <c r="BD57" s="181">
        <f>RANK(iScoresRounded!BD57,iScoresRounded!$N57:$BK57)</f>
        <v>26</v>
      </c>
      <c r="BE57" s="181">
        <f>RANK(iScoresRounded!BE57,iScoresRounded!$N57:$BK57)</f>
        <v>16</v>
      </c>
      <c r="BF57" s="181">
        <f>RANK(iScoresRounded!BF57,iScoresRounded!$N57:$BK57)</f>
        <v>13</v>
      </c>
      <c r="BG57" s="181">
        <f>RANK(iScoresRounded!BG57,iScoresRounded!$N57:$BK57)</f>
        <v>39</v>
      </c>
      <c r="BH57" s="181">
        <f>RANK(iScoresRounded!BH57,iScoresRounded!$N57:$BK57)</f>
        <v>32</v>
      </c>
      <c r="BI57" s="181">
        <f>RANK(iScoresRounded!BI57,iScoresRounded!$N57:$BK57)</f>
        <v>8</v>
      </c>
      <c r="BJ57" s="181">
        <f>RANK(iScoresRounded!BJ57,iScoresRounded!$N57:$BK57)</f>
        <v>27</v>
      </c>
      <c r="BK57" s="181">
        <f>RANK(iScoresRounded!BK57,iScoresRounded!$N57:$BK57)</f>
        <v>40</v>
      </c>
    </row>
    <row r="58" s="22" customFormat="1" spans="1:63">
      <c r="A58" s="24"/>
      <c r="B58" s="24"/>
      <c r="C58" s="24"/>
      <c r="D58" s="52"/>
      <c r="E58" s="52"/>
      <c r="F58" s="52"/>
      <c r="G58" s="52"/>
      <c r="H58" s="52"/>
      <c r="I58" s="52"/>
      <c r="J58" s="52"/>
      <c r="K58" s="54"/>
      <c r="L58" s="62" t="str">
        <f>tblIndicators!Z51</f>
        <v>4.2.1) Prevalence of petty crime</v>
      </c>
      <c r="M58" s="63"/>
      <c r="N58" s="181">
        <f>RANK(iScoresRounded!N58,iScoresRounded!$N58:$BK58)</f>
        <v>1</v>
      </c>
      <c r="O58" s="181">
        <f>RANK(iScoresRounded!O58,iScoresRounded!$N58:$BK58)</f>
        <v>49</v>
      </c>
      <c r="P58" s="181">
        <f>RANK(iScoresRounded!P58,iScoresRounded!$N58:$BK58)</f>
        <v>29</v>
      </c>
      <c r="Q58" s="181">
        <f>RANK(iScoresRounded!Q58,iScoresRounded!$N58:$BK58)</f>
        <v>44</v>
      </c>
      <c r="R58" s="181">
        <f>RANK(iScoresRounded!R58,iScoresRounded!$N58:$BK58)</f>
        <v>44</v>
      </c>
      <c r="S58" s="181">
        <f>RANK(iScoresRounded!S58,iScoresRounded!$N58:$BK58)</f>
        <v>4</v>
      </c>
      <c r="T58" s="181">
        <f>RANK(iScoresRounded!T58,iScoresRounded!$N58:$BK58)</f>
        <v>4</v>
      </c>
      <c r="U58" s="181">
        <f>RANK(iScoresRounded!U58,iScoresRounded!$N58:$BK58)</f>
        <v>1</v>
      </c>
      <c r="V58" s="181">
        <f>RANK(iScoresRounded!V58,iScoresRounded!$N58:$BK58)</f>
        <v>4</v>
      </c>
      <c r="W58" s="181">
        <f>RANK(iScoresRounded!W58,iScoresRounded!$N58:$BK58)</f>
        <v>4</v>
      </c>
      <c r="X58" s="181">
        <f>RANK(iScoresRounded!X58,iScoresRounded!$N58:$BK58)</f>
        <v>49</v>
      </c>
      <c r="Y58" s="181">
        <f>RANK(iScoresRounded!Y58,iScoresRounded!$N58:$BK58)</f>
        <v>29</v>
      </c>
      <c r="Z58" s="181">
        <f>RANK(iScoresRounded!Z58,iScoresRounded!$N58:$BK58)</f>
        <v>29</v>
      </c>
      <c r="AA58" s="181">
        <f>RANK(iScoresRounded!AA58,iScoresRounded!$N58:$BK58)</f>
        <v>29</v>
      </c>
      <c r="AB58" s="181">
        <f>RANK(iScoresRounded!AB58,iScoresRounded!$N58:$BK58)</f>
        <v>4</v>
      </c>
      <c r="AC58" s="181">
        <f>RANK(iScoresRounded!AC58,iScoresRounded!$N58:$BK58)</f>
        <v>4</v>
      </c>
      <c r="AD58" s="181">
        <f>RANK(iScoresRounded!AD58,iScoresRounded!$N58:$BK58)</f>
        <v>4</v>
      </c>
      <c r="AE58" s="181">
        <f>RANK(iScoresRounded!AE58,iScoresRounded!$N58:$BK58)</f>
        <v>4</v>
      </c>
      <c r="AF58" s="181">
        <f>RANK(iScoresRounded!AF58,iScoresRounded!$N58:$BK58)</f>
        <v>29</v>
      </c>
      <c r="AG58" s="181">
        <f>RANK(iScoresRounded!AG58,iScoresRounded!$N58:$BK58)</f>
        <v>29</v>
      </c>
      <c r="AH58" s="181">
        <f>RANK(iScoresRounded!AH58,iScoresRounded!$N58:$BK58)</f>
        <v>4</v>
      </c>
      <c r="AI58" s="181">
        <f>RANK(iScoresRounded!AI58,iScoresRounded!$N58:$BK58)</f>
        <v>29</v>
      </c>
      <c r="AJ58" s="181">
        <f>RANK(iScoresRounded!AJ58,iScoresRounded!$N58:$BK58)</f>
        <v>4</v>
      </c>
      <c r="AK58" s="181">
        <f>RANK(iScoresRounded!AK58,iScoresRounded!$N58:$BK58)</f>
        <v>44</v>
      </c>
      <c r="AL58" s="181">
        <f>RANK(iScoresRounded!AL58,iScoresRounded!$N58:$BK58)</f>
        <v>29</v>
      </c>
      <c r="AM58" s="181">
        <f>RANK(iScoresRounded!AM58,iScoresRounded!$N58:$BK58)</f>
        <v>44</v>
      </c>
      <c r="AN58" s="181">
        <f>RANK(iScoresRounded!AN58,iScoresRounded!$N58:$BK58)</f>
        <v>29</v>
      </c>
      <c r="AO58" s="181">
        <f>RANK(iScoresRounded!AO58,iScoresRounded!$N58:$BK58)</f>
        <v>4</v>
      </c>
      <c r="AP58" s="181">
        <f>RANK(iScoresRounded!AP58,iScoresRounded!$N58:$BK58)</f>
        <v>4</v>
      </c>
      <c r="AQ58" s="181">
        <f>RANK(iScoresRounded!AQ58,iScoresRounded!$N58:$BK58)</f>
        <v>1</v>
      </c>
      <c r="AR58" s="181">
        <f>RANK(iScoresRounded!AR58,iScoresRounded!$N58:$BK58)</f>
        <v>4</v>
      </c>
      <c r="AS58" s="181">
        <f>RANK(iScoresRounded!AS58,iScoresRounded!$N58:$BK58)</f>
        <v>4</v>
      </c>
      <c r="AT58" s="181">
        <f>RANK(iScoresRounded!AT58,iScoresRounded!$N58:$BK58)</f>
        <v>29</v>
      </c>
      <c r="AU58" s="181">
        <f>RANK(iScoresRounded!AU58,iScoresRounded!$N58:$BK58)</f>
        <v>44</v>
      </c>
      <c r="AV58" s="181">
        <f>RANK(iScoresRounded!AV58,iScoresRounded!$N58:$BK58)</f>
        <v>4</v>
      </c>
      <c r="AW58" s="181">
        <f>RANK(iScoresRounded!AW58,iScoresRounded!$N58:$BK58)</f>
        <v>4</v>
      </c>
      <c r="AX58" s="181">
        <f>RANK(iScoresRounded!AX58,iScoresRounded!$N58:$BK58)</f>
        <v>4</v>
      </c>
      <c r="AY58" s="181">
        <f>RANK(iScoresRounded!AY58,iScoresRounded!$N58:$BK58)</f>
        <v>4</v>
      </c>
      <c r="AZ58" s="181">
        <f>RANK(iScoresRounded!AZ58,iScoresRounded!$N58:$BK58)</f>
        <v>4</v>
      </c>
      <c r="BA58" s="181">
        <f>RANK(iScoresRounded!BA58,iScoresRounded!$N58:$BK58)</f>
        <v>4</v>
      </c>
      <c r="BB58" s="181">
        <f>RANK(iScoresRounded!BB58,iScoresRounded!$N58:$BK58)</f>
        <v>4</v>
      </c>
      <c r="BC58" s="181">
        <f>RANK(iScoresRounded!BC58,iScoresRounded!$N58:$BK58)</f>
        <v>29</v>
      </c>
      <c r="BD58" s="181">
        <f>RANK(iScoresRounded!BD58,iScoresRounded!$N58:$BK58)</f>
        <v>4</v>
      </c>
      <c r="BE58" s="181">
        <f>RANK(iScoresRounded!BE58,iScoresRounded!$N58:$BK58)</f>
        <v>29</v>
      </c>
      <c r="BF58" s="181">
        <f>RANK(iScoresRounded!BF58,iScoresRounded!$N58:$BK58)</f>
        <v>29</v>
      </c>
      <c r="BG58" s="181">
        <f>RANK(iScoresRounded!BG58,iScoresRounded!$N58:$BK58)</f>
        <v>4</v>
      </c>
      <c r="BH58" s="181">
        <f>RANK(iScoresRounded!BH58,iScoresRounded!$N58:$BK58)</f>
        <v>4</v>
      </c>
      <c r="BI58" s="181">
        <f>RANK(iScoresRounded!BI58,iScoresRounded!$N58:$BK58)</f>
        <v>4</v>
      </c>
      <c r="BJ58" s="181">
        <f>RANK(iScoresRounded!BJ58,iScoresRounded!$N58:$BK58)</f>
        <v>29</v>
      </c>
      <c r="BK58" s="181">
        <f>RANK(iScoresRounded!BK58,iScoresRounded!$N58:$BK58)</f>
        <v>29</v>
      </c>
    </row>
    <row r="59" s="22" customFormat="1" spans="1:63">
      <c r="A59" s="24"/>
      <c r="B59" s="24"/>
      <c r="C59" s="24"/>
      <c r="D59" s="52"/>
      <c r="E59" s="52"/>
      <c r="F59" s="52"/>
      <c r="G59" s="52"/>
      <c r="H59" s="52"/>
      <c r="I59" s="52"/>
      <c r="J59" s="52"/>
      <c r="K59" s="54"/>
      <c r="L59" s="62" t="str">
        <f>tblIndicators!Z52</f>
        <v>4.2.2) Prevalence of violence crime</v>
      </c>
      <c r="M59" s="63"/>
      <c r="N59" s="181">
        <f>RANK(iScoresRounded!N59,iScoresRounded!$N59:$BK59)</f>
        <v>1</v>
      </c>
      <c r="O59" s="181">
        <f>RANK(iScoresRounded!O59,iScoresRounded!$N59:$BK59)</f>
        <v>49</v>
      </c>
      <c r="P59" s="181">
        <f>RANK(iScoresRounded!P59,iScoresRounded!$N59:$BK59)</f>
        <v>41</v>
      </c>
      <c r="Q59" s="181">
        <f>RANK(iScoresRounded!Q59,iScoresRounded!$N59:$BK59)</f>
        <v>47</v>
      </c>
      <c r="R59" s="181">
        <f>RANK(iScoresRounded!R59,iScoresRounded!$N59:$BK59)</f>
        <v>47</v>
      </c>
      <c r="S59" s="181">
        <f>RANK(iScoresRounded!S59,iScoresRounded!$N59:$BK59)</f>
        <v>16</v>
      </c>
      <c r="T59" s="181">
        <f>RANK(iScoresRounded!T59,iScoresRounded!$N59:$BK59)</f>
        <v>16</v>
      </c>
      <c r="U59" s="181">
        <f>RANK(iScoresRounded!U59,iScoresRounded!$N59:$BK59)</f>
        <v>1</v>
      </c>
      <c r="V59" s="181">
        <f>RANK(iScoresRounded!V59,iScoresRounded!$N59:$BK59)</f>
        <v>1</v>
      </c>
      <c r="W59" s="181">
        <f>RANK(iScoresRounded!W59,iScoresRounded!$N59:$BK59)</f>
        <v>16</v>
      </c>
      <c r="X59" s="181">
        <f>RANK(iScoresRounded!X59,iScoresRounded!$N59:$BK59)</f>
        <v>49</v>
      </c>
      <c r="Y59" s="181">
        <f>RANK(iScoresRounded!Y59,iScoresRounded!$N59:$BK59)</f>
        <v>41</v>
      </c>
      <c r="Z59" s="181">
        <f>RANK(iScoresRounded!Z59,iScoresRounded!$N59:$BK59)</f>
        <v>41</v>
      </c>
      <c r="AA59" s="181">
        <f>RANK(iScoresRounded!AA59,iScoresRounded!$N59:$BK59)</f>
        <v>16</v>
      </c>
      <c r="AB59" s="181">
        <f>RANK(iScoresRounded!AB59,iScoresRounded!$N59:$BK59)</f>
        <v>16</v>
      </c>
      <c r="AC59" s="181">
        <f>RANK(iScoresRounded!AC59,iScoresRounded!$N59:$BK59)</f>
        <v>16</v>
      </c>
      <c r="AD59" s="181">
        <f>RANK(iScoresRounded!AD59,iScoresRounded!$N59:$BK59)</f>
        <v>1</v>
      </c>
      <c r="AE59" s="181">
        <f>RANK(iScoresRounded!AE59,iScoresRounded!$N59:$BK59)</f>
        <v>1</v>
      </c>
      <c r="AF59" s="181">
        <f>RANK(iScoresRounded!AF59,iScoresRounded!$N59:$BK59)</f>
        <v>16</v>
      </c>
      <c r="AG59" s="181">
        <f>RANK(iScoresRounded!AG59,iScoresRounded!$N59:$BK59)</f>
        <v>16</v>
      </c>
      <c r="AH59" s="181">
        <f>RANK(iScoresRounded!AH59,iScoresRounded!$N59:$BK59)</f>
        <v>16</v>
      </c>
      <c r="AI59" s="181">
        <f>RANK(iScoresRounded!AI59,iScoresRounded!$N59:$BK59)</f>
        <v>16</v>
      </c>
      <c r="AJ59" s="181">
        <f>RANK(iScoresRounded!AJ59,iScoresRounded!$N59:$BK59)</f>
        <v>1</v>
      </c>
      <c r="AK59" s="181">
        <f>RANK(iScoresRounded!AK59,iScoresRounded!$N59:$BK59)</f>
        <v>16</v>
      </c>
      <c r="AL59" s="181">
        <f>RANK(iScoresRounded!AL59,iScoresRounded!$N59:$BK59)</f>
        <v>41</v>
      </c>
      <c r="AM59" s="181">
        <f>RANK(iScoresRounded!AM59,iScoresRounded!$N59:$BK59)</f>
        <v>16</v>
      </c>
      <c r="AN59" s="181">
        <f>RANK(iScoresRounded!AN59,iScoresRounded!$N59:$BK59)</f>
        <v>16</v>
      </c>
      <c r="AO59" s="181">
        <f>RANK(iScoresRounded!AO59,iScoresRounded!$N59:$BK59)</f>
        <v>1</v>
      </c>
      <c r="AP59" s="181">
        <f>RANK(iScoresRounded!AP59,iScoresRounded!$N59:$BK59)</f>
        <v>1</v>
      </c>
      <c r="AQ59" s="181">
        <f>RANK(iScoresRounded!AQ59,iScoresRounded!$N59:$BK59)</f>
        <v>1</v>
      </c>
      <c r="AR59" s="181">
        <f>RANK(iScoresRounded!AR59,iScoresRounded!$N59:$BK59)</f>
        <v>1</v>
      </c>
      <c r="AS59" s="181">
        <f>RANK(iScoresRounded!AS59,iScoresRounded!$N59:$BK59)</f>
        <v>16</v>
      </c>
      <c r="AT59" s="181">
        <f>RANK(iScoresRounded!AT59,iScoresRounded!$N59:$BK59)</f>
        <v>16</v>
      </c>
      <c r="AU59" s="181">
        <f>RANK(iScoresRounded!AU59,iScoresRounded!$N59:$BK59)</f>
        <v>41</v>
      </c>
      <c r="AV59" s="181">
        <f>RANK(iScoresRounded!AV59,iScoresRounded!$N59:$BK59)</f>
        <v>1</v>
      </c>
      <c r="AW59" s="181">
        <f>RANK(iScoresRounded!AW59,iScoresRounded!$N59:$BK59)</f>
        <v>1</v>
      </c>
      <c r="AX59" s="181">
        <f>RANK(iScoresRounded!AX59,iScoresRounded!$N59:$BK59)</f>
        <v>1</v>
      </c>
      <c r="AY59" s="181">
        <f>RANK(iScoresRounded!AY59,iScoresRounded!$N59:$BK59)</f>
        <v>1</v>
      </c>
      <c r="AZ59" s="181">
        <f>RANK(iScoresRounded!AZ59,iScoresRounded!$N59:$BK59)</f>
        <v>16</v>
      </c>
      <c r="BA59" s="181">
        <f>RANK(iScoresRounded!BA59,iScoresRounded!$N59:$BK59)</f>
        <v>16</v>
      </c>
      <c r="BB59" s="181">
        <f>RANK(iScoresRounded!BB59,iScoresRounded!$N59:$BK59)</f>
        <v>16</v>
      </c>
      <c r="BC59" s="181">
        <f>RANK(iScoresRounded!BC59,iScoresRounded!$N59:$BK59)</f>
        <v>16</v>
      </c>
      <c r="BD59" s="181">
        <f>RANK(iScoresRounded!BD59,iScoresRounded!$N59:$BK59)</f>
        <v>16</v>
      </c>
      <c r="BE59" s="181">
        <f>RANK(iScoresRounded!BE59,iScoresRounded!$N59:$BK59)</f>
        <v>16</v>
      </c>
      <c r="BF59" s="181">
        <f>RANK(iScoresRounded!BF59,iScoresRounded!$N59:$BK59)</f>
        <v>16</v>
      </c>
      <c r="BG59" s="181">
        <f>RANK(iScoresRounded!BG59,iScoresRounded!$N59:$BK59)</f>
        <v>16</v>
      </c>
      <c r="BH59" s="181">
        <f>RANK(iScoresRounded!BH59,iScoresRounded!$N59:$BK59)</f>
        <v>16</v>
      </c>
      <c r="BI59" s="181">
        <f>RANK(iScoresRounded!BI59,iScoresRounded!$N59:$BK59)</f>
        <v>1</v>
      </c>
      <c r="BJ59" s="181">
        <f>RANK(iScoresRounded!BJ59,iScoresRounded!$N59:$BK59)</f>
        <v>41</v>
      </c>
      <c r="BK59" s="181">
        <f>RANK(iScoresRounded!BK59,iScoresRounded!$N59:$BK59)</f>
        <v>16</v>
      </c>
    </row>
    <row r="60" s="22" customFormat="1" spans="1:63">
      <c r="A60" s="24"/>
      <c r="B60" s="24"/>
      <c r="C60" s="24"/>
      <c r="D60" s="52"/>
      <c r="E60" s="52"/>
      <c r="F60" s="52"/>
      <c r="G60" s="52"/>
      <c r="H60" s="52"/>
      <c r="I60" s="52"/>
      <c r="J60" s="52"/>
      <c r="K60" s="54"/>
      <c r="L60" s="62" t="str">
        <f>tblIndicators!Z53</f>
        <v>4.2.3) Criminal gang activity</v>
      </c>
      <c r="M60" s="63"/>
      <c r="N60" s="181">
        <f>RANK(iScoresRounded!N60,iScoresRounded!$N60:$BK60)</f>
        <v>4</v>
      </c>
      <c r="O60" s="181">
        <f>RANK(iScoresRounded!O60,iScoresRounded!$N60:$BK60)</f>
        <v>11</v>
      </c>
      <c r="P60" s="181">
        <f>RANK(iScoresRounded!P60,iScoresRounded!$N60:$BK60)</f>
        <v>7</v>
      </c>
      <c r="Q60" s="181">
        <f>RANK(iScoresRounded!Q60,iScoresRounded!$N60:$BK60)</f>
        <v>20</v>
      </c>
      <c r="R60" s="181">
        <f>RANK(iScoresRounded!R60,iScoresRounded!$N60:$BK60)</f>
        <v>20</v>
      </c>
      <c r="S60" s="181">
        <f>RANK(iScoresRounded!S60,iScoresRounded!$N60:$BK60)</f>
        <v>45</v>
      </c>
      <c r="T60" s="181">
        <f>RANK(iScoresRounded!T60,iScoresRounded!$N60:$BK60)</f>
        <v>45</v>
      </c>
      <c r="U60" s="181">
        <f>RANK(iScoresRounded!U60,iScoresRounded!$N60:$BK60)</f>
        <v>30</v>
      </c>
      <c r="V60" s="181">
        <f>RANK(iScoresRounded!V60,iScoresRounded!$N60:$BK60)</f>
        <v>30</v>
      </c>
      <c r="W60" s="181">
        <f>RANK(iScoresRounded!W60,iScoresRounded!$N60:$BK60)</f>
        <v>45</v>
      </c>
      <c r="X60" s="181">
        <f>RANK(iScoresRounded!X60,iScoresRounded!$N60:$BK60)</f>
        <v>38</v>
      </c>
      <c r="Y60" s="181">
        <f>RANK(iScoresRounded!Y60,iScoresRounded!$N60:$BK60)</f>
        <v>13</v>
      </c>
      <c r="Z60" s="181">
        <f>RANK(iScoresRounded!Z60,iScoresRounded!$N60:$BK60)</f>
        <v>3</v>
      </c>
      <c r="AA60" s="181">
        <f>RANK(iScoresRounded!AA60,iScoresRounded!$N60:$BK60)</f>
        <v>45</v>
      </c>
      <c r="AB60" s="181">
        <f>RANK(iScoresRounded!AB60,iScoresRounded!$N60:$BK60)</f>
        <v>45</v>
      </c>
      <c r="AC60" s="181">
        <f>RANK(iScoresRounded!AC60,iScoresRounded!$N60:$BK60)</f>
        <v>18</v>
      </c>
      <c r="AD60" s="181">
        <f>RANK(iScoresRounded!AD60,iScoresRounded!$N60:$BK60)</f>
        <v>18</v>
      </c>
      <c r="AE60" s="181">
        <f>RANK(iScoresRounded!AE60,iScoresRounded!$N60:$BK60)</f>
        <v>39</v>
      </c>
      <c r="AF60" s="181">
        <f>RANK(iScoresRounded!AF60,iScoresRounded!$N60:$BK60)</f>
        <v>39</v>
      </c>
      <c r="AG60" s="181">
        <f>RANK(iScoresRounded!AG60,iScoresRounded!$N60:$BK60)</f>
        <v>39</v>
      </c>
      <c r="AH60" s="181">
        <f>RANK(iScoresRounded!AH60,iScoresRounded!$N60:$BK60)</f>
        <v>39</v>
      </c>
      <c r="AI60" s="181">
        <f>RANK(iScoresRounded!AI60,iScoresRounded!$N60:$BK60)</f>
        <v>39</v>
      </c>
      <c r="AJ60" s="181">
        <f>RANK(iScoresRounded!AJ60,iScoresRounded!$N60:$BK60)</f>
        <v>39</v>
      </c>
      <c r="AK60" s="181">
        <f>RANK(iScoresRounded!AK60,iScoresRounded!$N60:$BK60)</f>
        <v>28</v>
      </c>
      <c r="AL60" s="181">
        <f>RANK(iScoresRounded!AL60,iScoresRounded!$N60:$BK60)</f>
        <v>28</v>
      </c>
      <c r="AM60" s="181">
        <f>RANK(iScoresRounded!AM60,iScoresRounded!$N60:$BK60)</f>
        <v>23</v>
      </c>
      <c r="AN60" s="181">
        <f>RANK(iScoresRounded!AN60,iScoresRounded!$N60:$BK60)</f>
        <v>16</v>
      </c>
      <c r="AO60" s="181">
        <f>RANK(iScoresRounded!AO60,iScoresRounded!$N60:$BK60)</f>
        <v>32</v>
      </c>
      <c r="AP60" s="181">
        <f>RANK(iScoresRounded!AP60,iScoresRounded!$N60:$BK60)</f>
        <v>32</v>
      </c>
      <c r="AQ60" s="181">
        <f>RANK(iScoresRounded!AQ60,iScoresRounded!$N60:$BK60)</f>
        <v>1</v>
      </c>
      <c r="AR60" s="181">
        <f>RANK(iScoresRounded!AR60,iScoresRounded!$N60:$BK60)</f>
        <v>24</v>
      </c>
      <c r="AS60" s="181">
        <f>RANK(iScoresRounded!AS60,iScoresRounded!$N60:$BK60)</f>
        <v>10</v>
      </c>
      <c r="AT60" s="181">
        <f>RANK(iScoresRounded!AT60,iScoresRounded!$N60:$BK60)</f>
        <v>17</v>
      </c>
      <c r="AU60" s="181">
        <f>RANK(iScoresRounded!AU60,iScoresRounded!$N60:$BK60)</f>
        <v>6</v>
      </c>
      <c r="AV60" s="181">
        <f>RANK(iScoresRounded!AV60,iScoresRounded!$N60:$BK60)</f>
        <v>9</v>
      </c>
      <c r="AW60" s="181">
        <f>RANK(iScoresRounded!AW60,iScoresRounded!$N60:$BK60)</f>
        <v>45</v>
      </c>
      <c r="AX60" s="181">
        <f>RANK(iScoresRounded!AX60,iScoresRounded!$N60:$BK60)</f>
        <v>15</v>
      </c>
      <c r="AY60" s="181">
        <f>RANK(iScoresRounded!AY60,iScoresRounded!$N60:$BK60)</f>
        <v>7</v>
      </c>
      <c r="AZ60" s="181">
        <f>RANK(iScoresRounded!AZ60,iScoresRounded!$N60:$BK60)</f>
        <v>1</v>
      </c>
      <c r="BA60" s="181">
        <f>RANK(iScoresRounded!BA60,iScoresRounded!$N60:$BK60)</f>
        <v>14</v>
      </c>
      <c r="BB60" s="181">
        <f>RANK(iScoresRounded!BB60,iScoresRounded!$N60:$BK60)</f>
        <v>25</v>
      </c>
      <c r="BC60" s="181">
        <f>RANK(iScoresRounded!BC60,iScoresRounded!$N60:$BK60)</f>
        <v>34</v>
      </c>
      <c r="BD60" s="181">
        <f>RANK(iScoresRounded!BD60,iScoresRounded!$N60:$BK60)</f>
        <v>34</v>
      </c>
      <c r="BE60" s="181">
        <f>RANK(iScoresRounded!BE60,iScoresRounded!$N60:$BK60)</f>
        <v>5</v>
      </c>
      <c r="BF60" s="181">
        <f>RANK(iScoresRounded!BF60,iScoresRounded!$N60:$BK60)</f>
        <v>26</v>
      </c>
      <c r="BG60" s="181">
        <f>RANK(iScoresRounded!BG60,iScoresRounded!$N60:$BK60)</f>
        <v>36</v>
      </c>
      <c r="BH60" s="181">
        <f>RANK(iScoresRounded!BH60,iScoresRounded!$N60:$BK60)</f>
        <v>36</v>
      </c>
      <c r="BI60" s="181">
        <f>RANK(iScoresRounded!BI60,iScoresRounded!$N60:$BK60)</f>
        <v>12</v>
      </c>
      <c r="BJ60" s="181">
        <f>RANK(iScoresRounded!BJ60,iScoresRounded!$N60:$BK60)</f>
        <v>22</v>
      </c>
      <c r="BK60" s="181">
        <f>RANK(iScoresRounded!BK60,iScoresRounded!$N60:$BK60)</f>
        <v>27</v>
      </c>
    </row>
    <row r="61" s="22" customFormat="1" spans="1:63">
      <c r="A61" s="24"/>
      <c r="B61" s="24"/>
      <c r="C61" s="24"/>
      <c r="D61" s="52"/>
      <c r="E61" s="52"/>
      <c r="F61" s="52"/>
      <c r="G61" s="52"/>
      <c r="H61" s="52"/>
      <c r="I61" s="52"/>
      <c r="J61" s="52"/>
      <c r="K61" s="54"/>
      <c r="L61" s="62" t="str">
        <f>tblIndicators!Z54</f>
        <v>4.2.4) Level of corruption in police force</v>
      </c>
      <c r="M61" s="63"/>
      <c r="N61" s="181">
        <f>RANK(iScoresRounded!N61,iScoresRounded!$N61:$BK61)</f>
        <v>1</v>
      </c>
      <c r="O61" s="181">
        <f>RANK(iScoresRounded!O61,iScoresRounded!$N61:$BK61)</f>
        <v>22</v>
      </c>
      <c r="P61" s="181">
        <f>RANK(iScoresRounded!P61,iScoresRounded!$N61:$BK61)</f>
        <v>6</v>
      </c>
      <c r="Q61" s="181">
        <f>RANK(iScoresRounded!Q61,iScoresRounded!$N61:$BK61)</f>
        <v>17</v>
      </c>
      <c r="R61" s="181">
        <f>RANK(iScoresRounded!R61,iScoresRounded!$N61:$BK61)</f>
        <v>17</v>
      </c>
      <c r="S61" s="181">
        <f>RANK(iScoresRounded!S61,iScoresRounded!$N61:$BK61)</f>
        <v>31</v>
      </c>
      <c r="T61" s="181">
        <f>RANK(iScoresRounded!T61,iScoresRounded!$N61:$BK61)</f>
        <v>31</v>
      </c>
      <c r="U61" s="181">
        <f>RANK(iScoresRounded!U61,iScoresRounded!$N61:$BK61)</f>
        <v>48</v>
      </c>
      <c r="V61" s="181">
        <f>RANK(iScoresRounded!V61,iScoresRounded!$N61:$BK61)</f>
        <v>48</v>
      </c>
      <c r="W61" s="181">
        <f>RANK(iScoresRounded!W61,iScoresRounded!$N61:$BK61)</f>
        <v>31</v>
      </c>
      <c r="X61" s="181">
        <f>RANK(iScoresRounded!X61,iScoresRounded!$N61:$BK61)</f>
        <v>7</v>
      </c>
      <c r="Y61" s="181">
        <f>RANK(iScoresRounded!Y61,iScoresRounded!$N61:$BK61)</f>
        <v>10</v>
      </c>
      <c r="Z61" s="181">
        <f>RANK(iScoresRounded!Z61,iScoresRounded!$N61:$BK61)</f>
        <v>37</v>
      </c>
      <c r="AA61" s="181">
        <f>RANK(iScoresRounded!AA61,iScoresRounded!$N61:$BK61)</f>
        <v>31</v>
      </c>
      <c r="AB61" s="181">
        <f>RANK(iScoresRounded!AB61,iScoresRounded!$N61:$BK61)</f>
        <v>31</v>
      </c>
      <c r="AC61" s="181">
        <f>RANK(iScoresRounded!AC61,iScoresRounded!$N61:$BK61)</f>
        <v>44</v>
      </c>
      <c r="AD61" s="181">
        <f>RANK(iScoresRounded!AD61,iScoresRounded!$N61:$BK61)</f>
        <v>44</v>
      </c>
      <c r="AE61" s="181">
        <f>RANK(iScoresRounded!AE61,iScoresRounded!$N61:$BK61)</f>
        <v>43</v>
      </c>
      <c r="AF61" s="181">
        <f>RANK(iScoresRounded!AF61,iScoresRounded!$N61:$BK61)</f>
        <v>10</v>
      </c>
      <c r="AG61" s="181">
        <f>RANK(iScoresRounded!AG61,iScoresRounded!$N61:$BK61)</f>
        <v>10</v>
      </c>
      <c r="AH61" s="181">
        <f>RANK(iScoresRounded!AH61,iScoresRounded!$N61:$BK61)</f>
        <v>10</v>
      </c>
      <c r="AI61" s="181">
        <f>RANK(iScoresRounded!AI61,iScoresRounded!$N61:$BK61)</f>
        <v>10</v>
      </c>
      <c r="AJ61" s="181">
        <f>RANK(iScoresRounded!AJ61,iScoresRounded!$N61:$BK61)</f>
        <v>10</v>
      </c>
      <c r="AK61" s="181">
        <f>RANK(iScoresRounded!AK61,iScoresRounded!$N61:$BK61)</f>
        <v>8</v>
      </c>
      <c r="AL61" s="181">
        <f>RANK(iScoresRounded!AL61,iScoresRounded!$N61:$BK61)</f>
        <v>8</v>
      </c>
      <c r="AM61" s="181">
        <f>RANK(iScoresRounded!AM61,iScoresRounded!$N61:$BK61)</f>
        <v>5</v>
      </c>
      <c r="AN61" s="181">
        <f>RANK(iScoresRounded!AN61,iScoresRounded!$N61:$BK61)</f>
        <v>3</v>
      </c>
      <c r="AO61" s="181">
        <f>RANK(iScoresRounded!AO61,iScoresRounded!$N61:$BK61)</f>
        <v>40</v>
      </c>
      <c r="AP61" s="181">
        <f>RANK(iScoresRounded!AP61,iScoresRounded!$N61:$BK61)</f>
        <v>40</v>
      </c>
      <c r="AQ61" s="181">
        <f>RANK(iScoresRounded!AQ61,iScoresRounded!$N61:$BK61)</f>
        <v>50</v>
      </c>
      <c r="AR61" s="181">
        <f>RANK(iScoresRounded!AR61,iScoresRounded!$N61:$BK61)</f>
        <v>25</v>
      </c>
      <c r="AS61" s="181">
        <f>RANK(iScoresRounded!AS61,iScoresRounded!$N61:$BK61)</f>
        <v>26</v>
      </c>
      <c r="AT61" s="181">
        <f>RANK(iScoresRounded!AT61,iScoresRounded!$N61:$BK61)</f>
        <v>10</v>
      </c>
      <c r="AU61" s="181">
        <f>RANK(iScoresRounded!AU61,iScoresRounded!$N61:$BK61)</f>
        <v>4</v>
      </c>
      <c r="AV61" s="181">
        <f>RANK(iScoresRounded!AV61,iScoresRounded!$N61:$BK61)</f>
        <v>22</v>
      </c>
      <c r="AW61" s="181">
        <f>RANK(iScoresRounded!AW61,iScoresRounded!$N61:$BK61)</f>
        <v>39</v>
      </c>
      <c r="AX61" s="181">
        <f>RANK(iScoresRounded!AX61,iScoresRounded!$N61:$BK61)</f>
        <v>24</v>
      </c>
      <c r="AY61" s="181">
        <f>RANK(iScoresRounded!AY61,iScoresRounded!$N61:$BK61)</f>
        <v>29</v>
      </c>
      <c r="AZ61" s="181">
        <f>RANK(iScoresRounded!AZ61,iScoresRounded!$N61:$BK61)</f>
        <v>31</v>
      </c>
      <c r="BA61" s="181">
        <f>RANK(iScoresRounded!BA61,iScoresRounded!$N61:$BK61)</f>
        <v>30</v>
      </c>
      <c r="BB61" s="181">
        <f>RANK(iScoresRounded!BB61,iScoresRounded!$N61:$BK61)</f>
        <v>42</v>
      </c>
      <c r="BC61" s="181">
        <f>RANK(iScoresRounded!BC61,iScoresRounded!$N61:$BK61)</f>
        <v>19</v>
      </c>
      <c r="BD61" s="181">
        <f>RANK(iScoresRounded!BD61,iScoresRounded!$N61:$BK61)</f>
        <v>19</v>
      </c>
      <c r="BE61" s="181">
        <f>RANK(iScoresRounded!BE61,iScoresRounded!$N61:$BK61)</f>
        <v>47</v>
      </c>
      <c r="BF61" s="181">
        <f>RANK(iScoresRounded!BF61,iScoresRounded!$N61:$BK61)</f>
        <v>2</v>
      </c>
      <c r="BG61" s="181">
        <f>RANK(iScoresRounded!BG61,iScoresRounded!$N61:$BK61)</f>
        <v>27</v>
      </c>
      <c r="BH61" s="181">
        <f>RANK(iScoresRounded!BH61,iScoresRounded!$N61:$BK61)</f>
        <v>27</v>
      </c>
      <c r="BI61" s="181">
        <f>RANK(iScoresRounded!BI61,iScoresRounded!$N61:$BK61)</f>
        <v>44</v>
      </c>
      <c r="BJ61" s="181">
        <f>RANK(iScoresRounded!BJ61,iScoresRounded!$N61:$BK61)</f>
        <v>21</v>
      </c>
      <c r="BK61" s="181">
        <f>RANK(iScoresRounded!BK61,iScoresRounded!$N61:$BK61)</f>
        <v>38</v>
      </c>
    </row>
    <row r="62" s="22" customFormat="1" spans="1:63">
      <c r="A62" s="24"/>
      <c r="B62" s="24"/>
      <c r="C62" s="24"/>
      <c r="D62" s="52"/>
      <c r="E62" s="52"/>
      <c r="F62" s="52"/>
      <c r="G62" s="52"/>
      <c r="H62" s="52"/>
      <c r="I62" s="52"/>
      <c r="J62" s="52"/>
      <c r="K62" s="54"/>
      <c r="L62" s="62" t="str">
        <f>tblIndicators!Z55</f>
        <v>4.2.5) Rate of drug use</v>
      </c>
      <c r="M62" s="63"/>
      <c r="N62" s="181">
        <f>RANK(iScoresRounded!N62,iScoresRounded!$N62:$BK62)</f>
        <v>24</v>
      </c>
      <c r="O62" s="181">
        <f>RANK(iScoresRounded!O62,iScoresRounded!$N62:$BK62)</f>
        <v>30</v>
      </c>
      <c r="P62" s="181">
        <f>RANK(iScoresRounded!P62,iScoresRounded!$N62:$BK62)</f>
        <v>46</v>
      </c>
      <c r="Q62" s="181">
        <f>RANK(iScoresRounded!Q62,iScoresRounded!$N62:$BK62)</f>
        <v>28</v>
      </c>
      <c r="R62" s="181">
        <f>RANK(iScoresRounded!R62,iScoresRounded!$N62:$BK62)</f>
        <v>28</v>
      </c>
      <c r="S62" s="181">
        <f>RANK(iScoresRounded!S62,iScoresRounded!$N62:$BK62)</f>
        <v>40</v>
      </c>
      <c r="T62" s="181">
        <f>RANK(iScoresRounded!T62,iScoresRounded!$N62:$BK62)</f>
        <v>40</v>
      </c>
      <c r="U62" s="181">
        <f>RANK(iScoresRounded!U62,iScoresRounded!$N62:$BK62)</f>
        <v>33</v>
      </c>
      <c r="V62" s="181">
        <f>RANK(iScoresRounded!V62,iScoresRounded!$N62:$BK62)</f>
        <v>33</v>
      </c>
      <c r="W62" s="181">
        <f>RANK(iScoresRounded!W62,iScoresRounded!$N62:$BK62)</f>
        <v>40</v>
      </c>
      <c r="X62" s="181">
        <f>RANK(iScoresRounded!X62,iScoresRounded!$N62:$BK62)</f>
        <v>21</v>
      </c>
      <c r="Y62" s="181">
        <f>RANK(iScoresRounded!Y62,iScoresRounded!$N62:$BK62)</f>
        <v>24</v>
      </c>
      <c r="Z62" s="181">
        <f>RANK(iScoresRounded!Z62,iScoresRounded!$N62:$BK62)</f>
        <v>40</v>
      </c>
      <c r="AA62" s="181">
        <f>RANK(iScoresRounded!AA62,iScoresRounded!$N62:$BK62)</f>
        <v>40</v>
      </c>
      <c r="AB62" s="181">
        <f>RANK(iScoresRounded!AB62,iScoresRounded!$N62:$BK62)</f>
        <v>40</v>
      </c>
      <c r="AC62" s="181">
        <f>RANK(iScoresRounded!AC62,iScoresRounded!$N62:$BK62)</f>
        <v>35</v>
      </c>
      <c r="AD62" s="181">
        <f>RANK(iScoresRounded!AD62,iScoresRounded!$N62:$BK62)</f>
        <v>35</v>
      </c>
      <c r="AE62" s="181">
        <f>RANK(iScoresRounded!AE62,iScoresRounded!$N62:$BK62)</f>
        <v>20</v>
      </c>
      <c r="AF62" s="181">
        <f>RANK(iScoresRounded!AF62,iScoresRounded!$N62:$BK62)</f>
        <v>15</v>
      </c>
      <c r="AG62" s="181">
        <f>RANK(iScoresRounded!AG62,iScoresRounded!$N62:$BK62)</f>
        <v>15</v>
      </c>
      <c r="AH62" s="181">
        <f>RANK(iScoresRounded!AH62,iScoresRounded!$N62:$BK62)</f>
        <v>15</v>
      </c>
      <c r="AI62" s="181">
        <f>RANK(iScoresRounded!AI62,iScoresRounded!$N62:$BK62)</f>
        <v>15</v>
      </c>
      <c r="AJ62" s="181">
        <f>RANK(iScoresRounded!AJ62,iScoresRounded!$N62:$BK62)</f>
        <v>15</v>
      </c>
      <c r="AK62" s="181">
        <f>RANK(iScoresRounded!AK62,iScoresRounded!$N62:$BK62)</f>
        <v>21</v>
      </c>
      <c r="AL62" s="181">
        <f>RANK(iScoresRounded!AL62,iScoresRounded!$N62:$BK62)</f>
        <v>21</v>
      </c>
      <c r="AM62" s="181">
        <f>RANK(iScoresRounded!AM62,iScoresRounded!$N62:$BK62)</f>
        <v>46</v>
      </c>
      <c r="AN62" s="181">
        <f>RANK(iScoresRounded!AN62,iScoresRounded!$N62:$BK62)</f>
        <v>46</v>
      </c>
      <c r="AO62" s="181">
        <f>RANK(iScoresRounded!AO62,iScoresRounded!$N62:$BK62)</f>
        <v>3</v>
      </c>
      <c r="AP62" s="181">
        <f>RANK(iScoresRounded!AP62,iScoresRounded!$N62:$BK62)</f>
        <v>3</v>
      </c>
      <c r="AQ62" s="181">
        <f>RANK(iScoresRounded!AQ62,iScoresRounded!$N62:$BK62)</f>
        <v>1</v>
      </c>
      <c r="AR62" s="181">
        <f>RANK(iScoresRounded!AR62,iScoresRounded!$N62:$BK62)</f>
        <v>7</v>
      </c>
      <c r="AS62" s="181">
        <f>RANK(iScoresRounded!AS62,iScoresRounded!$N62:$BK62)</f>
        <v>7</v>
      </c>
      <c r="AT62" s="181">
        <f>RANK(iScoresRounded!AT62,iScoresRounded!$N62:$BK62)</f>
        <v>7</v>
      </c>
      <c r="AU62" s="181">
        <f>RANK(iScoresRounded!AU62,iScoresRounded!$N62:$BK62)</f>
        <v>7</v>
      </c>
      <c r="AV62" s="181">
        <f>RANK(iScoresRounded!AV62,iScoresRounded!$N62:$BK62)</f>
        <v>7</v>
      </c>
      <c r="AW62" s="181">
        <f>RANK(iScoresRounded!AW62,iScoresRounded!$N62:$BK62)</f>
        <v>5</v>
      </c>
      <c r="AX62" s="181">
        <f>RANK(iScoresRounded!AX62,iScoresRounded!$N62:$BK62)</f>
        <v>5</v>
      </c>
      <c r="AY62" s="181">
        <f>RANK(iScoresRounded!AY62,iScoresRounded!$N62:$BK62)</f>
        <v>2</v>
      </c>
      <c r="AZ62" s="181">
        <f>RANK(iScoresRounded!AZ62,iScoresRounded!$N62:$BK62)</f>
        <v>31</v>
      </c>
      <c r="BA62" s="181">
        <f>RANK(iScoresRounded!BA62,iScoresRounded!$N62:$BK62)</f>
        <v>26</v>
      </c>
      <c r="BB62" s="181">
        <f>RANK(iScoresRounded!BB62,iScoresRounded!$N62:$BK62)</f>
        <v>31</v>
      </c>
      <c r="BC62" s="181">
        <f>RANK(iScoresRounded!BC62,iScoresRounded!$N62:$BK62)</f>
        <v>38</v>
      </c>
      <c r="BD62" s="181">
        <f>RANK(iScoresRounded!BD62,iScoresRounded!$N62:$BK62)</f>
        <v>38</v>
      </c>
      <c r="BE62" s="181">
        <f>RANK(iScoresRounded!BE62,iScoresRounded!$N62:$BK62)</f>
        <v>26</v>
      </c>
      <c r="BF62" s="181">
        <f>RANK(iScoresRounded!BF62,iScoresRounded!$N62:$BK62)</f>
        <v>13</v>
      </c>
      <c r="BG62" s="181">
        <f>RANK(iScoresRounded!BG62,iScoresRounded!$N62:$BK62)</f>
        <v>46</v>
      </c>
      <c r="BH62" s="181">
        <f>RANK(iScoresRounded!BH62,iScoresRounded!$N62:$BK62)</f>
        <v>46</v>
      </c>
      <c r="BI62" s="181">
        <f>RANK(iScoresRounded!BI62,iScoresRounded!$N62:$BK62)</f>
        <v>13</v>
      </c>
      <c r="BJ62" s="181">
        <f>RANK(iScoresRounded!BJ62,iScoresRounded!$N62:$BK62)</f>
        <v>7</v>
      </c>
      <c r="BK62" s="181">
        <f>RANK(iScoresRounded!BK62,iScoresRounded!$N62:$BK62)</f>
        <v>35</v>
      </c>
    </row>
    <row r="63" s="22" customFormat="1" spans="1:63">
      <c r="A63" s="24"/>
      <c r="B63" s="24"/>
      <c r="C63" s="24"/>
      <c r="D63" s="52"/>
      <c r="E63" s="52"/>
      <c r="F63" s="52"/>
      <c r="G63" s="52"/>
      <c r="H63" s="52"/>
      <c r="I63" s="52"/>
      <c r="J63" s="52"/>
      <c r="K63" s="54"/>
      <c r="L63" s="62" t="str">
        <f>tblIndicators!Z56</f>
        <v>4.2.6) Frequency of terrorist attacks</v>
      </c>
      <c r="M63" s="63"/>
      <c r="N63" s="181">
        <f>RANK(iScoresRounded!N63,iScoresRounded!$N63:$BK63)</f>
        <v>32</v>
      </c>
      <c r="O63" s="181">
        <f>RANK(iScoresRounded!O63,iScoresRounded!$N63:$BK63)</f>
        <v>14</v>
      </c>
      <c r="P63" s="181">
        <f>RANK(iScoresRounded!P63,iScoresRounded!$N63:$BK63)</f>
        <v>39</v>
      </c>
      <c r="Q63" s="181">
        <f>RANK(iScoresRounded!Q63,iScoresRounded!$N63:$BK63)</f>
        <v>25</v>
      </c>
      <c r="R63" s="181">
        <f>RANK(iScoresRounded!R63,iScoresRounded!$N63:$BK63)</f>
        <v>1</v>
      </c>
      <c r="S63" s="181">
        <f>RANK(iScoresRounded!S63,iScoresRounded!$N63:$BK63)</f>
        <v>35</v>
      </c>
      <c r="T63" s="181">
        <f>RANK(iScoresRounded!T63,iScoresRounded!$N63:$BK63)</f>
        <v>14</v>
      </c>
      <c r="U63" s="181">
        <f>RANK(iScoresRounded!U63,iScoresRounded!$N63:$BK63)</f>
        <v>14</v>
      </c>
      <c r="V63" s="181">
        <f>RANK(iScoresRounded!V63,iScoresRounded!$N63:$BK63)</f>
        <v>25</v>
      </c>
      <c r="W63" s="181">
        <f>RANK(iScoresRounded!W63,iScoresRounded!$N63:$BK63)</f>
        <v>1</v>
      </c>
      <c r="X63" s="181">
        <f>RANK(iScoresRounded!X63,iScoresRounded!$N63:$BK63)</f>
        <v>33</v>
      </c>
      <c r="Y63" s="181">
        <f>RANK(iScoresRounded!Y63,iScoresRounded!$N63:$BK63)</f>
        <v>14</v>
      </c>
      <c r="Z63" s="181">
        <f>RANK(iScoresRounded!Z63,iScoresRounded!$N63:$BK63)</f>
        <v>48</v>
      </c>
      <c r="AA63" s="181">
        <f>RANK(iScoresRounded!AA63,iScoresRounded!$N63:$BK63)</f>
        <v>35</v>
      </c>
      <c r="AB63" s="181">
        <f>RANK(iScoresRounded!AB63,iScoresRounded!$N63:$BK63)</f>
        <v>30</v>
      </c>
      <c r="AC63" s="181">
        <f>RANK(iScoresRounded!AC63,iScoresRounded!$N63:$BK63)</f>
        <v>1</v>
      </c>
      <c r="AD63" s="181">
        <f>RANK(iScoresRounded!AD63,iScoresRounded!$N63:$BK63)</f>
        <v>1</v>
      </c>
      <c r="AE63" s="181">
        <f>RANK(iScoresRounded!AE63,iScoresRounded!$N63:$BK63)</f>
        <v>14</v>
      </c>
      <c r="AF63" s="181">
        <f>RANK(iScoresRounded!AF63,iScoresRounded!$N63:$BK63)</f>
        <v>30</v>
      </c>
      <c r="AG63" s="181">
        <f>RANK(iScoresRounded!AG63,iScoresRounded!$N63:$BK63)</f>
        <v>1</v>
      </c>
      <c r="AH63" s="181">
        <f>RANK(iScoresRounded!AH63,iScoresRounded!$N63:$BK63)</f>
        <v>14</v>
      </c>
      <c r="AI63" s="181">
        <f>RANK(iScoresRounded!AI63,iScoresRounded!$N63:$BK63)</f>
        <v>1</v>
      </c>
      <c r="AJ63" s="181">
        <f>RANK(iScoresRounded!AJ63,iScoresRounded!$N63:$BK63)</f>
        <v>1</v>
      </c>
      <c r="AK63" s="181">
        <f>RANK(iScoresRounded!AK63,iScoresRounded!$N63:$BK63)</f>
        <v>42</v>
      </c>
      <c r="AL63" s="181">
        <f>RANK(iScoresRounded!AL63,iScoresRounded!$N63:$BK63)</f>
        <v>43</v>
      </c>
      <c r="AM63" s="181">
        <f>RANK(iScoresRounded!AM63,iScoresRounded!$N63:$BK63)</f>
        <v>44</v>
      </c>
      <c r="AN63" s="181">
        <f>RANK(iScoresRounded!AN63,iScoresRounded!$N63:$BK63)</f>
        <v>39</v>
      </c>
      <c r="AO63" s="181">
        <f>RANK(iScoresRounded!AO63,iScoresRounded!$N63:$BK63)</f>
        <v>1</v>
      </c>
      <c r="AP63" s="181">
        <f>RANK(iScoresRounded!AP63,iScoresRounded!$N63:$BK63)</f>
        <v>1</v>
      </c>
      <c r="AQ63" s="181">
        <f>RANK(iScoresRounded!AQ63,iScoresRounded!$N63:$BK63)</f>
        <v>1</v>
      </c>
      <c r="AR63" s="181">
        <f>RANK(iScoresRounded!AR63,iScoresRounded!$N63:$BK63)</f>
        <v>14</v>
      </c>
      <c r="AS63" s="181">
        <f>RANK(iScoresRounded!AS63,iScoresRounded!$N63:$BK63)</f>
        <v>25</v>
      </c>
      <c r="AT63" s="181">
        <f>RANK(iScoresRounded!AT63,iScoresRounded!$N63:$BK63)</f>
        <v>50</v>
      </c>
      <c r="AU63" s="181">
        <f>RANK(iScoresRounded!AU63,iScoresRounded!$N63:$BK63)</f>
        <v>1</v>
      </c>
      <c r="AV63" s="181">
        <f>RANK(iScoresRounded!AV63,iScoresRounded!$N63:$BK63)</f>
        <v>1</v>
      </c>
      <c r="AW63" s="181">
        <f>RANK(iScoresRounded!AW63,iScoresRounded!$N63:$BK63)</f>
        <v>14</v>
      </c>
      <c r="AX63" s="181">
        <f>RANK(iScoresRounded!AX63,iScoresRounded!$N63:$BK63)</f>
        <v>41</v>
      </c>
      <c r="AY63" s="181">
        <f>RANK(iScoresRounded!AY63,iScoresRounded!$N63:$BK63)</f>
        <v>1</v>
      </c>
      <c r="AZ63" s="181">
        <f>RANK(iScoresRounded!AZ63,iScoresRounded!$N63:$BK63)</f>
        <v>25</v>
      </c>
      <c r="BA63" s="181">
        <f>RANK(iScoresRounded!BA63,iScoresRounded!$N63:$BK63)</f>
        <v>38</v>
      </c>
      <c r="BB63" s="181">
        <f>RANK(iScoresRounded!BB63,iScoresRounded!$N63:$BK63)</f>
        <v>25</v>
      </c>
      <c r="BC63" s="181">
        <f>RANK(iScoresRounded!BC63,iScoresRounded!$N63:$BK63)</f>
        <v>37</v>
      </c>
      <c r="BD63" s="181">
        <f>RANK(iScoresRounded!BD63,iScoresRounded!$N63:$BK63)</f>
        <v>34</v>
      </c>
      <c r="BE63" s="181">
        <f>RANK(iScoresRounded!BE63,iScoresRounded!$N63:$BK63)</f>
        <v>14</v>
      </c>
      <c r="BF63" s="181">
        <f>RANK(iScoresRounded!BF63,iScoresRounded!$N63:$BK63)</f>
        <v>46</v>
      </c>
      <c r="BG63" s="181">
        <f>RANK(iScoresRounded!BG63,iScoresRounded!$N63:$BK63)</f>
        <v>44</v>
      </c>
      <c r="BH63" s="181">
        <f>RANK(iScoresRounded!BH63,iScoresRounded!$N63:$BK63)</f>
        <v>14</v>
      </c>
      <c r="BI63" s="181">
        <f>RANK(iScoresRounded!BI63,iScoresRounded!$N63:$BK63)</f>
        <v>14</v>
      </c>
      <c r="BJ63" s="181">
        <f>RANK(iScoresRounded!BJ63,iScoresRounded!$N63:$BK63)</f>
        <v>49</v>
      </c>
      <c r="BK63" s="181">
        <f>RANK(iScoresRounded!BK63,iScoresRounded!$N63:$BK63)</f>
        <v>47</v>
      </c>
    </row>
    <row r="64" s="22" customFormat="1" spans="1:63">
      <c r="A64" s="24"/>
      <c r="B64" s="24"/>
      <c r="C64" s="24"/>
      <c r="D64" s="52"/>
      <c r="E64" s="52"/>
      <c r="F64" s="52"/>
      <c r="G64" s="52"/>
      <c r="H64" s="52"/>
      <c r="I64" s="52"/>
      <c r="J64" s="52"/>
      <c r="K64" s="54"/>
      <c r="L64" s="62" t="str">
        <f>tblIndicators!Z57</f>
        <v>4.2.7) Gender safety</v>
      </c>
      <c r="M64" s="63"/>
      <c r="N64" s="181">
        <f>RANK(iScoresRounded!N64,iScoresRounded!$N64:$BK64)</f>
        <v>36</v>
      </c>
      <c r="O64" s="181">
        <f>RANK(iScoresRounded!O64,iScoresRounded!$N64:$BK64)</f>
        <v>14</v>
      </c>
      <c r="P64" s="181">
        <f>RANK(iScoresRounded!P64,iScoresRounded!$N64:$BK64)</f>
        <v>41</v>
      </c>
      <c r="Q64" s="181">
        <f>RANK(iScoresRounded!Q64,iScoresRounded!$N64:$BK64)</f>
        <v>21</v>
      </c>
      <c r="R64" s="181">
        <f>RANK(iScoresRounded!R64,iScoresRounded!$N64:$BK64)</f>
        <v>35</v>
      </c>
      <c r="S64" s="181">
        <f>RANK(iScoresRounded!S64,iScoresRounded!$N64:$BK64)</f>
        <v>24</v>
      </c>
      <c r="T64" s="181">
        <f>RANK(iScoresRounded!T64,iScoresRounded!$N64:$BK64)</f>
        <v>8</v>
      </c>
      <c r="U64" s="181">
        <f>RANK(iScoresRounded!U64,iScoresRounded!$N64:$BK64)</f>
        <v>19</v>
      </c>
      <c r="V64" s="181">
        <f>RANK(iScoresRounded!V64,iScoresRounded!$N64:$BK64)</f>
        <v>19</v>
      </c>
      <c r="W64" s="181">
        <f>RANK(iScoresRounded!W64,iScoresRounded!$N64:$BK64)</f>
        <v>28</v>
      </c>
      <c r="X64" s="181">
        <f>RANK(iScoresRounded!X64,iScoresRounded!$N64:$BK64)</f>
        <v>43</v>
      </c>
      <c r="Y64" s="181">
        <f>RANK(iScoresRounded!Y64,iScoresRounded!$N64:$BK64)</f>
        <v>39</v>
      </c>
      <c r="Z64" s="181">
        <f>RANK(iScoresRounded!Z64,iScoresRounded!$N64:$BK64)</f>
        <v>31</v>
      </c>
      <c r="AA64" s="181">
        <f>RANK(iScoresRounded!AA64,iScoresRounded!$N64:$BK64)</f>
        <v>27</v>
      </c>
      <c r="AB64" s="181">
        <f>RANK(iScoresRounded!AB64,iScoresRounded!$N64:$BK64)</f>
        <v>17</v>
      </c>
      <c r="AC64" s="181">
        <f>RANK(iScoresRounded!AC64,iScoresRounded!$N64:$BK64)</f>
        <v>38</v>
      </c>
      <c r="AD64" s="181">
        <f>RANK(iScoresRounded!AD64,iScoresRounded!$N64:$BK64)</f>
        <v>32</v>
      </c>
      <c r="AE64" s="181">
        <f>RANK(iScoresRounded!AE64,iScoresRounded!$N64:$BK64)</f>
        <v>7</v>
      </c>
      <c r="AF64" s="181">
        <f>RANK(iScoresRounded!AF64,iScoresRounded!$N64:$BK64)</f>
        <v>46</v>
      </c>
      <c r="AG64" s="181">
        <f>RANK(iScoresRounded!AG64,iScoresRounded!$N64:$BK64)</f>
        <v>46</v>
      </c>
      <c r="AH64" s="181">
        <f>RANK(iScoresRounded!AH64,iScoresRounded!$N64:$BK64)</f>
        <v>46</v>
      </c>
      <c r="AI64" s="181">
        <f>RANK(iScoresRounded!AI64,iScoresRounded!$N64:$BK64)</f>
        <v>46</v>
      </c>
      <c r="AJ64" s="181">
        <f>RANK(iScoresRounded!AJ64,iScoresRounded!$N64:$BK64)</f>
        <v>46</v>
      </c>
      <c r="AK64" s="181">
        <f>RANK(iScoresRounded!AK64,iScoresRounded!$N64:$BK64)</f>
        <v>15</v>
      </c>
      <c r="AL64" s="181">
        <f>RANK(iScoresRounded!AL64,iScoresRounded!$N64:$BK64)</f>
        <v>30</v>
      </c>
      <c r="AM64" s="181">
        <f>RANK(iScoresRounded!AM64,iScoresRounded!$N64:$BK64)</f>
        <v>5</v>
      </c>
      <c r="AN64" s="181">
        <f>RANK(iScoresRounded!AN64,iScoresRounded!$N64:$BK64)</f>
        <v>4</v>
      </c>
      <c r="AO64" s="181">
        <f>RANK(iScoresRounded!AO64,iScoresRounded!$N64:$BK64)</f>
        <v>13</v>
      </c>
      <c r="AP64" s="181">
        <f>RANK(iScoresRounded!AP64,iScoresRounded!$N64:$BK64)</f>
        <v>10</v>
      </c>
      <c r="AQ64" s="181">
        <f>RANK(iScoresRounded!AQ64,iScoresRounded!$N64:$BK64)</f>
        <v>12</v>
      </c>
      <c r="AR64" s="181">
        <f>RANK(iScoresRounded!AR64,iScoresRounded!$N64:$BK64)</f>
        <v>45</v>
      </c>
      <c r="AS64" s="181">
        <f>RANK(iScoresRounded!AS64,iScoresRounded!$N64:$BK64)</f>
        <v>44</v>
      </c>
      <c r="AT64" s="181">
        <f>RANK(iScoresRounded!AT64,iScoresRounded!$N64:$BK64)</f>
        <v>33</v>
      </c>
      <c r="AU64" s="181">
        <f>RANK(iScoresRounded!AU64,iScoresRounded!$N64:$BK64)</f>
        <v>25</v>
      </c>
      <c r="AV64" s="181">
        <f>RANK(iScoresRounded!AV64,iScoresRounded!$N64:$BK64)</f>
        <v>10</v>
      </c>
      <c r="AW64" s="181">
        <f>RANK(iScoresRounded!AW64,iScoresRounded!$N64:$BK64)</f>
        <v>2</v>
      </c>
      <c r="AX64" s="181">
        <f>RANK(iScoresRounded!AX64,iScoresRounded!$N64:$BK64)</f>
        <v>3</v>
      </c>
      <c r="AY64" s="181">
        <f>RANK(iScoresRounded!AY64,iScoresRounded!$N64:$BK64)</f>
        <v>37</v>
      </c>
      <c r="AZ64" s="181">
        <f>RANK(iScoresRounded!AZ64,iScoresRounded!$N64:$BK64)</f>
        <v>23</v>
      </c>
      <c r="BA64" s="181">
        <f>RANK(iScoresRounded!BA64,iScoresRounded!$N64:$BK64)</f>
        <v>42</v>
      </c>
      <c r="BB64" s="181">
        <f>RANK(iScoresRounded!BB64,iScoresRounded!$N64:$BK64)</f>
        <v>40</v>
      </c>
      <c r="BC64" s="181">
        <f>RANK(iScoresRounded!BC64,iScoresRounded!$N64:$BK64)</f>
        <v>6</v>
      </c>
      <c r="BD64" s="181">
        <f>RANK(iScoresRounded!BD64,iScoresRounded!$N64:$BK64)</f>
        <v>9</v>
      </c>
      <c r="BE64" s="181">
        <f>RANK(iScoresRounded!BE64,iScoresRounded!$N64:$BK64)</f>
        <v>22</v>
      </c>
      <c r="BF64" s="181">
        <f>RANK(iScoresRounded!BF64,iScoresRounded!$N64:$BK64)</f>
        <v>16</v>
      </c>
      <c r="BG64" s="181">
        <f>RANK(iScoresRounded!BG64,iScoresRounded!$N64:$BK64)</f>
        <v>34</v>
      </c>
      <c r="BH64" s="181">
        <f>RANK(iScoresRounded!BH64,iScoresRounded!$N64:$BK64)</f>
        <v>26</v>
      </c>
      <c r="BI64" s="181">
        <f>RANK(iScoresRounded!BI64,iScoresRounded!$N64:$BK64)</f>
        <v>18</v>
      </c>
      <c r="BJ64" s="181">
        <f>RANK(iScoresRounded!BJ64,iScoresRounded!$N64:$BK64)</f>
        <v>29</v>
      </c>
      <c r="BK64" s="181">
        <f>RANK(iScoresRounded!BK64,iScoresRounded!$N64:$BK64)</f>
        <v>1</v>
      </c>
    </row>
    <row r="65" s="22" customFormat="1" spans="1:63">
      <c r="A65" s="24"/>
      <c r="B65" s="24"/>
      <c r="C65" s="24"/>
      <c r="D65" s="52"/>
      <c r="E65" s="52"/>
      <c r="F65" s="52"/>
      <c r="G65" s="52"/>
      <c r="H65" s="52"/>
      <c r="I65" s="52"/>
      <c r="J65" s="52"/>
      <c r="K65" s="54"/>
      <c r="L65" s="62" t="str">
        <f>tblIndicators!Z58</f>
        <v>4.2.8) Perceptions of safety</v>
      </c>
      <c r="M65" s="63"/>
      <c r="N65" s="181">
        <f>RANK(iScoresRounded!N65,iScoresRounded!$N65:$BK65)</f>
        <v>10</v>
      </c>
      <c r="O65" s="181">
        <f>RANK(iScoresRounded!O65,iScoresRounded!$N65:$BK65)</f>
        <v>50</v>
      </c>
      <c r="P65" s="181">
        <f>RANK(iScoresRounded!P65,iScoresRounded!$N65:$BK65)</f>
        <v>44</v>
      </c>
      <c r="Q65" s="181">
        <f>RANK(iScoresRounded!Q65,iScoresRounded!$N65:$BK65)</f>
        <v>49</v>
      </c>
      <c r="R65" s="181">
        <f>RANK(iScoresRounded!R65,iScoresRounded!$N65:$BK65)</f>
        <v>48</v>
      </c>
      <c r="S65" s="181">
        <f>RANK(iScoresRounded!S65,iScoresRounded!$N65:$BK65)</f>
        <v>35</v>
      </c>
      <c r="T65" s="181">
        <f>RANK(iScoresRounded!T65,iScoresRounded!$N65:$BK65)</f>
        <v>26</v>
      </c>
      <c r="U65" s="181">
        <f>RANK(iScoresRounded!U65,iScoresRounded!$N65:$BK65)</f>
        <v>15</v>
      </c>
      <c r="V65" s="181">
        <f>RANK(iScoresRounded!V65,iScoresRounded!$N65:$BK65)</f>
        <v>19</v>
      </c>
      <c r="W65" s="181">
        <f>RANK(iScoresRounded!W65,iScoresRounded!$N65:$BK65)</f>
        <v>43</v>
      </c>
      <c r="X65" s="181">
        <f>RANK(iScoresRounded!X65,iScoresRounded!$N65:$BK65)</f>
        <v>45</v>
      </c>
      <c r="Y65" s="181">
        <f>RANK(iScoresRounded!Y65,iScoresRounded!$N65:$BK65)</f>
        <v>46</v>
      </c>
      <c r="Z65" s="181">
        <f>RANK(iScoresRounded!Z65,iScoresRounded!$N65:$BK65)</f>
        <v>30</v>
      </c>
      <c r="AA65" s="181">
        <f>RANK(iScoresRounded!AA65,iScoresRounded!$N65:$BK65)</f>
        <v>31</v>
      </c>
      <c r="AB65" s="181">
        <f>RANK(iScoresRounded!AB65,iScoresRounded!$N65:$BK65)</f>
        <v>42</v>
      </c>
      <c r="AC65" s="181">
        <f>RANK(iScoresRounded!AC65,iScoresRounded!$N65:$BK65)</f>
        <v>23</v>
      </c>
      <c r="AD65" s="181">
        <f>RANK(iScoresRounded!AD65,iScoresRounded!$N65:$BK65)</f>
        <v>27</v>
      </c>
      <c r="AE65" s="181">
        <f>RANK(iScoresRounded!AE65,iScoresRounded!$N65:$BK65)</f>
        <v>3</v>
      </c>
      <c r="AF65" s="181">
        <f>RANK(iScoresRounded!AF65,iScoresRounded!$N65:$BK65)</f>
        <v>25</v>
      </c>
      <c r="AG65" s="181">
        <f>RANK(iScoresRounded!AG65,iScoresRounded!$N65:$BK65)</f>
        <v>11</v>
      </c>
      <c r="AH65" s="181">
        <f>RANK(iScoresRounded!AH65,iScoresRounded!$N65:$BK65)</f>
        <v>12</v>
      </c>
      <c r="AI65" s="181">
        <f>RANK(iScoresRounded!AI65,iScoresRounded!$N65:$BK65)</f>
        <v>21</v>
      </c>
      <c r="AJ65" s="181">
        <f>RANK(iScoresRounded!AJ65,iScoresRounded!$N65:$BK65)</f>
        <v>22</v>
      </c>
      <c r="AK65" s="181">
        <f>RANK(iScoresRounded!AK65,iScoresRounded!$N65:$BK65)</f>
        <v>34</v>
      </c>
      <c r="AL65" s="181">
        <f>RANK(iScoresRounded!AL65,iScoresRounded!$N65:$BK65)</f>
        <v>41</v>
      </c>
      <c r="AM65" s="181">
        <f>RANK(iScoresRounded!AM65,iScoresRounded!$N65:$BK65)</f>
        <v>33</v>
      </c>
      <c r="AN65" s="181">
        <f>RANK(iScoresRounded!AN65,iScoresRounded!$N65:$BK65)</f>
        <v>40</v>
      </c>
      <c r="AO65" s="181">
        <f>RANK(iScoresRounded!AO65,iScoresRounded!$N65:$BK65)</f>
        <v>5</v>
      </c>
      <c r="AP65" s="181">
        <f>RANK(iScoresRounded!AP65,iScoresRounded!$N65:$BK65)</f>
        <v>1</v>
      </c>
      <c r="AQ65" s="181">
        <f>RANK(iScoresRounded!AQ65,iScoresRounded!$N65:$BK65)</f>
        <v>4</v>
      </c>
      <c r="AR65" s="181">
        <f>RANK(iScoresRounded!AR65,iScoresRounded!$N65:$BK65)</f>
        <v>6</v>
      </c>
      <c r="AS65" s="181">
        <f>RANK(iScoresRounded!AS65,iScoresRounded!$N65:$BK65)</f>
        <v>8</v>
      </c>
      <c r="AT65" s="181">
        <f>RANK(iScoresRounded!AT65,iScoresRounded!$N65:$BK65)</f>
        <v>17</v>
      </c>
      <c r="AU65" s="181">
        <f>RANK(iScoresRounded!AU65,iScoresRounded!$N65:$BK65)</f>
        <v>32</v>
      </c>
      <c r="AV65" s="181">
        <f>RANK(iScoresRounded!AV65,iScoresRounded!$N65:$BK65)</f>
        <v>28</v>
      </c>
      <c r="AW65" s="181">
        <f>RANK(iScoresRounded!AW65,iScoresRounded!$N65:$BK65)</f>
        <v>9</v>
      </c>
      <c r="AX65" s="181">
        <f>RANK(iScoresRounded!AX65,iScoresRounded!$N65:$BK65)</f>
        <v>13</v>
      </c>
      <c r="AY65" s="181">
        <f>RANK(iScoresRounded!AY65,iScoresRounded!$N65:$BK65)</f>
        <v>2</v>
      </c>
      <c r="AZ65" s="181">
        <f>RANK(iScoresRounded!AZ65,iScoresRounded!$N65:$BK65)</f>
        <v>37</v>
      </c>
      <c r="BA65" s="181">
        <f>RANK(iScoresRounded!BA65,iScoresRounded!$N65:$BK65)</f>
        <v>39</v>
      </c>
      <c r="BB65" s="181">
        <f>RANK(iScoresRounded!BB65,iScoresRounded!$N65:$BK65)</f>
        <v>14</v>
      </c>
      <c r="BC65" s="181">
        <f>RANK(iScoresRounded!BC65,iScoresRounded!$N65:$BK65)</f>
        <v>47</v>
      </c>
      <c r="BD65" s="181">
        <f>RANK(iScoresRounded!BD65,iScoresRounded!$N65:$BK65)</f>
        <v>36</v>
      </c>
      <c r="BE65" s="181">
        <f>RANK(iScoresRounded!BE65,iScoresRounded!$N65:$BK65)</f>
        <v>16</v>
      </c>
      <c r="BF65" s="181">
        <f>RANK(iScoresRounded!BF65,iScoresRounded!$N65:$BK65)</f>
        <v>38</v>
      </c>
      <c r="BG65" s="181">
        <f>RANK(iScoresRounded!BG65,iScoresRounded!$N65:$BK65)</f>
        <v>18</v>
      </c>
      <c r="BH65" s="181">
        <f>RANK(iScoresRounded!BH65,iScoresRounded!$N65:$BK65)</f>
        <v>24</v>
      </c>
      <c r="BI65" s="181">
        <f>RANK(iScoresRounded!BI65,iScoresRounded!$N65:$BK65)</f>
        <v>7</v>
      </c>
      <c r="BJ65" s="181">
        <f>RANK(iScoresRounded!BJ65,iScoresRounded!$N65:$BK65)</f>
        <v>20</v>
      </c>
      <c r="BK65" s="181">
        <f>RANK(iScoresRounded!BK65,iScoresRounded!$N65:$BK65)</f>
        <v>29</v>
      </c>
    </row>
    <row r="66" spans="14:37">
      <c r="N66" s="65"/>
      <c r="O66" s="65"/>
      <c r="P66" s="65"/>
      <c r="Q66" s="65"/>
      <c r="R66" s="65"/>
      <c r="S66" s="65"/>
      <c r="T66" s="65"/>
      <c r="U66" s="65"/>
      <c r="V66" s="65"/>
      <c r="W66" s="65"/>
      <c r="X66" s="65"/>
      <c r="Y66" s="65"/>
      <c r="Z66" s="65"/>
      <c r="AA66" s="65"/>
      <c r="AB66" s="65"/>
      <c r="AC66" s="65"/>
      <c r="AD66" s="65"/>
      <c r="AE66" s="65"/>
      <c r="AF66" s="65"/>
      <c r="AG66" s="65"/>
      <c r="AH66" s="65"/>
      <c r="AI66" s="65"/>
      <c r="AJ66" s="65"/>
      <c r="AK66" s="65"/>
    </row>
    <row r="67" spans="14:37">
      <c r="N67" s="65"/>
      <c r="O67" s="65"/>
      <c r="P67" s="65"/>
      <c r="Q67" s="65"/>
      <c r="R67" s="65"/>
      <c r="S67" s="65"/>
      <c r="T67" s="65"/>
      <c r="U67" s="65"/>
      <c r="V67" s="65"/>
      <c r="W67" s="65"/>
      <c r="X67" s="65"/>
      <c r="Y67" s="65"/>
      <c r="Z67" s="65"/>
      <c r="AA67" s="65"/>
      <c r="AB67" s="65"/>
      <c r="AC67" s="65"/>
      <c r="AD67" s="65"/>
      <c r="AE67" s="65"/>
      <c r="AF67" s="65"/>
      <c r="AG67" s="65"/>
      <c r="AH67" s="65"/>
      <c r="AI67" s="65"/>
      <c r="AJ67" s="65"/>
      <c r="AK67" s="65"/>
    </row>
    <row r="68" spans="14:37">
      <c r="N68" s="65"/>
      <c r="O68" s="65"/>
      <c r="P68" s="65"/>
      <c r="Q68" s="65"/>
      <c r="R68" s="65"/>
      <c r="S68" s="65"/>
      <c r="T68" s="65"/>
      <c r="U68" s="65"/>
      <c r="V68" s="65"/>
      <c r="W68" s="65"/>
      <c r="X68" s="65"/>
      <c r="Y68" s="65"/>
      <c r="Z68" s="65"/>
      <c r="AA68" s="65"/>
      <c r="AB68" s="65"/>
      <c r="AC68" s="65"/>
      <c r="AD68" s="65"/>
      <c r="AE68" s="65"/>
      <c r="AF68" s="65"/>
      <c r="AG68" s="65"/>
      <c r="AH68" s="65"/>
      <c r="AI68" s="65"/>
      <c r="AJ68" s="65"/>
      <c r="AK68" s="65"/>
    </row>
    <row r="69" spans="14:37">
      <c r="N69" s="65"/>
      <c r="O69" s="65"/>
      <c r="P69" s="65"/>
      <c r="Q69" s="65"/>
      <c r="R69" s="65"/>
      <c r="S69" s="65"/>
      <c r="T69" s="65"/>
      <c r="U69" s="65"/>
      <c r="V69" s="65"/>
      <c r="W69" s="65"/>
      <c r="X69" s="65"/>
      <c r="Y69" s="65"/>
      <c r="Z69" s="65"/>
      <c r="AA69" s="65"/>
      <c r="AB69" s="65"/>
      <c r="AC69" s="65"/>
      <c r="AD69" s="65"/>
      <c r="AE69" s="65"/>
      <c r="AF69" s="65"/>
      <c r="AG69" s="65"/>
      <c r="AH69" s="65"/>
      <c r="AI69" s="65"/>
      <c r="AJ69" s="65"/>
      <c r="AK69" s="65"/>
    </row>
    <row r="70" spans="14:37">
      <c r="N70" s="65"/>
      <c r="O70" s="65"/>
      <c r="P70" s="65"/>
      <c r="Q70" s="65"/>
      <c r="R70" s="65"/>
      <c r="S70" s="65"/>
      <c r="T70" s="65"/>
      <c r="U70" s="65"/>
      <c r="V70" s="65"/>
      <c r="W70" s="65"/>
      <c r="X70" s="65"/>
      <c r="Y70" s="65"/>
      <c r="Z70" s="65"/>
      <c r="AA70" s="65"/>
      <c r="AB70" s="65"/>
      <c r="AC70" s="65"/>
      <c r="AD70" s="65"/>
      <c r="AE70" s="65"/>
      <c r="AF70" s="65"/>
      <c r="AG70" s="65"/>
      <c r="AH70" s="65"/>
      <c r="AI70" s="65"/>
      <c r="AJ70" s="65"/>
      <c r="AK70" s="65"/>
    </row>
    <row r="71" spans="14:37">
      <c r="N71" s="65"/>
      <c r="O71" s="65"/>
      <c r="P71" s="65"/>
      <c r="Q71" s="65"/>
      <c r="R71" s="65"/>
      <c r="S71" s="65"/>
      <c r="T71" s="65"/>
      <c r="U71" s="65"/>
      <c r="V71" s="65"/>
      <c r="W71" s="65"/>
      <c r="X71" s="65"/>
      <c r="Y71" s="65"/>
      <c r="Z71" s="65"/>
      <c r="AA71" s="65"/>
      <c r="AB71" s="65"/>
      <c r="AC71" s="65"/>
      <c r="AD71" s="65"/>
      <c r="AE71" s="65"/>
      <c r="AF71" s="65"/>
      <c r="AG71" s="65"/>
      <c r="AH71" s="65"/>
      <c r="AI71" s="65"/>
      <c r="AJ71" s="65"/>
      <c r="AK71" s="65"/>
    </row>
    <row r="72" spans="14:37">
      <c r="N72" s="65"/>
      <c r="O72" s="65"/>
      <c r="P72" s="65"/>
      <c r="Q72" s="65"/>
      <c r="R72" s="65"/>
      <c r="S72" s="65"/>
      <c r="T72" s="65"/>
      <c r="U72" s="65"/>
      <c r="V72" s="65"/>
      <c r="W72" s="65"/>
      <c r="X72" s="65"/>
      <c r="Y72" s="65"/>
      <c r="Z72" s="65"/>
      <c r="AA72" s="65"/>
      <c r="AB72" s="65"/>
      <c r="AC72" s="65"/>
      <c r="AD72" s="65"/>
      <c r="AE72" s="65"/>
      <c r="AF72" s="65"/>
      <c r="AG72" s="65"/>
      <c r="AH72" s="65"/>
      <c r="AI72" s="65"/>
      <c r="AJ72" s="65"/>
      <c r="AK72" s="65"/>
    </row>
    <row r="73" spans="14:37">
      <c r="N73" s="65"/>
      <c r="O73" s="65"/>
      <c r="P73" s="65"/>
      <c r="Q73" s="65"/>
      <c r="R73" s="65"/>
      <c r="S73" s="65"/>
      <c r="T73" s="65"/>
      <c r="U73" s="65"/>
      <c r="V73" s="65"/>
      <c r="W73" s="65"/>
      <c r="X73" s="65"/>
      <c r="Y73" s="65"/>
      <c r="Z73" s="65"/>
      <c r="AA73" s="65"/>
      <c r="AB73" s="65"/>
      <c r="AC73" s="65"/>
      <c r="AD73" s="65"/>
      <c r="AE73" s="65"/>
      <c r="AF73" s="65"/>
      <c r="AG73" s="65"/>
      <c r="AH73" s="65"/>
      <c r="AI73" s="65"/>
      <c r="AJ73" s="65"/>
      <c r="AK73" s="65"/>
    </row>
    <row r="74" spans="14:37">
      <c r="N74" s="65"/>
      <c r="O74" s="65"/>
      <c r="P74" s="65"/>
      <c r="Q74" s="65"/>
      <c r="R74" s="65"/>
      <c r="S74" s="65"/>
      <c r="T74" s="65"/>
      <c r="U74" s="65"/>
      <c r="V74" s="65"/>
      <c r="W74" s="65"/>
      <c r="X74" s="65"/>
      <c r="Y74" s="65"/>
      <c r="Z74" s="65"/>
      <c r="AA74" s="65"/>
      <c r="AB74" s="65"/>
      <c r="AC74" s="65"/>
      <c r="AD74" s="65"/>
      <c r="AE74" s="65"/>
      <c r="AF74" s="65"/>
      <c r="AG74" s="65"/>
      <c r="AH74" s="65"/>
      <c r="AI74" s="65"/>
      <c r="AJ74" s="65"/>
      <c r="AK74" s="65"/>
    </row>
    <row r="75" spans="14:37">
      <c r="N75" s="65"/>
      <c r="O75" s="65"/>
      <c r="P75" s="65"/>
      <c r="Q75" s="65"/>
      <c r="R75" s="65"/>
      <c r="S75" s="65"/>
      <c r="T75" s="65"/>
      <c r="U75" s="65"/>
      <c r="V75" s="65"/>
      <c r="W75" s="65"/>
      <c r="X75" s="65"/>
      <c r="Y75" s="65"/>
      <c r="Z75" s="65"/>
      <c r="AA75" s="65"/>
      <c r="AB75" s="65"/>
      <c r="AC75" s="65"/>
      <c r="AD75" s="65"/>
      <c r="AE75" s="65"/>
      <c r="AF75" s="65"/>
      <c r="AG75" s="65"/>
      <c r="AH75" s="65"/>
      <c r="AI75" s="65"/>
      <c r="AJ75" s="65"/>
      <c r="AK75" s="65"/>
    </row>
    <row r="76" spans="14:37">
      <c r="N76" s="65"/>
      <c r="O76" s="65"/>
      <c r="P76" s="65"/>
      <c r="Q76" s="65"/>
      <c r="R76" s="65"/>
      <c r="S76" s="65"/>
      <c r="T76" s="65"/>
      <c r="U76" s="65"/>
      <c r="V76" s="65"/>
      <c r="W76" s="65"/>
      <c r="X76" s="65"/>
      <c r="Y76" s="65"/>
      <c r="Z76" s="65"/>
      <c r="AA76" s="65"/>
      <c r="AB76" s="65"/>
      <c r="AC76" s="65"/>
      <c r="AD76" s="65"/>
      <c r="AE76" s="65"/>
      <c r="AF76" s="65"/>
      <c r="AG76" s="65"/>
      <c r="AH76" s="65"/>
      <c r="AI76" s="65"/>
      <c r="AJ76" s="65"/>
      <c r="AK76" s="65"/>
    </row>
    <row r="77" spans="14:37">
      <c r="N77" s="65"/>
      <c r="O77" s="65"/>
      <c r="P77" s="65"/>
      <c r="Q77" s="65"/>
      <c r="R77" s="65"/>
      <c r="S77" s="65"/>
      <c r="T77" s="65"/>
      <c r="U77" s="65"/>
      <c r="V77" s="65"/>
      <c r="W77" s="65"/>
      <c r="X77" s="65"/>
      <c r="Y77" s="65"/>
      <c r="Z77" s="65"/>
      <c r="AA77" s="65"/>
      <c r="AB77" s="65"/>
      <c r="AC77" s="65"/>
      <c r="AD77" s="65"/>
      <c r="AE77" s="65"/>
      <c r="AF77" s="65"/>
      <c r="AG77" s="65"/>
      <c r="AH77" s="65"/>
      <c r="AI77" s="65"/>
      <c r="AJ77" s="65"/>
      <c r="AK77" s="65"/>
    </row>
    <row r="78" spans="14:37">
      <c r="N78" s="65"/>
      <c r="O78" s="65"/>
      <c r="P78" s="65"/>
      <c r="Q78" s="65"/>
      <c r="R78" s="65"/>
      <c r="S78" s="65"/>
      <c r="T78" s="65"/>
      <c r="U78" s="65"/>
      <c r="V78" s="65"/>
      <c r="W78" s="65"/>
      <c r="X78" s="65"/>
      <c r="Y78" s="65"/>
      <c r="Z78" s="65"/>
      <c r="AA78" s="65"/>
      <c r="AB78" s="65"/>
      <c r="AC78" s="65"/>
      <c r="AD78" s="65"/>
      <c r="AE78" s="65"/>
      <c r="AF78" s="65"/>
      <c r="AG78" s="65"/>
      <c r="AH78" s="65"/>
      <c r="AI78" s="65"/>
      <c r="AJ78" s="65"/>
      <c r="AK78" s="65"/>
    </row>
    <row r="79" spans="14:37">
      <c r="N79" s="65"/>
      <c r="O79" s="65"/>
      <c r="P79" s="65"/>
      <c r="Q79" s="65"/>
      <c r="R79" s="65"/>
      <c r="S79" s="65"/>
      <c r="T79" s="65"/>
      <c r="U79" s="65"/>
      <c r="V79" s="65"/>
      <c r="W79" s="65"/>
      <c r="X79" s="65"/>
      <c r="Y79" s="65"/>
      <c r="Z79" s="65"/>
      <c r="AA79" s="65"/>
      <c r="AB79" s="65"/>
      <c r="AC79" s="65"/>
      <c r="AD79" s="65"/>
      <c r="AE79" s="65"/>
      <c r="AF79" s="65"/>
      <c r="AG79" s="65"/>
      <c r="AH79" s="65"/>
      <c r="AI79" s="65"/>
      <c r="AJ79" s="65"/>
      <c r="AK79" s="65"/>
    </row>
    <row r="80" spans="14:37">
      <c r="N80" s="65"/>
      <c r="O80" s="65"/>
      <c r="P80" s="65"/>
      <c r="Q80" s="65"/>
      <c r="R80" s="65"/>
      <c r="S80" s="65"/>
      <c r="T80" s="65"/>
      <c r="U80" s="65"/>
      <c r="V80" s="65"/>
      <c r="W80" s="65"/>
      <c r="X80" s="65"/>
      <c r="Y80" s="65"/>
      <c r="Z80" s="65"/>
      <c r="AA80" s="65"/>
      <c r="AB80" s="65"/>
      <c r="AC80" s="65"/>
      <c r="AD80" s="65"/>
      <c r="AE80" s="65"/>
      <c r="AF80" s="65"/>
      <c r="AG80" s="65"/>
      <c r="AH80" s="65"/>
      <c r="AI80" s="65"/>
      <c r="AJ80" s="65"/>
      <c r="AK80" s="65"/>
    </row>
    <row r="81" spans="14:37">
      <c r="N81" s="65"/>
      <c r="O81" s="65"/>
      <c r="P81" s="65"/>
      <c r="Q81" s="65"/>
      <c r="R81" s="65"/>
      <c r="S81" s="65"/>
      <c r="T81" s="65"/>
      <c r="U81" s="65"/>
      <c r="V81" s="65"/>
      <c r="W81" s="65"/>
      <c r="X81" s="65"/>
      <c r="Y81" s="65"/>
      <c r="Z81" s="65"/>
      <c r="AA81" s="65"/>
      <c r="AB81" s="65"/>
      <c r="AC81" s="65"/>
      <c r="AD81" s="65"/>
      <c r="AE81" s="65"/>
      <c r="AF81" s="65"/>
      <c r="AG81" s="65"/>
      <c r="AH81" s="65"/>
      <c r="AI81" s="65"/>
      <c r="AJ81" s="65"/>
      <c r="AK81" s="65"/>
    </row>
    <row r="82" spans="14:37">
      <c r="N82" s="65"/>
      <c r="O82" s="65"/>
      <c r="P82" s="65"/>
      <c r="Q82" s="65"/>
      <c r="R82" s="65"/>
      <c r="S82" s="65"/>
      <c r="T82" s="65"/>
      <c r="U82" s="65"/>
      <c r="V82" s="65"/>
      <c r="W82" s="65"/>
      <c r="X82" s="65"/>
      <c r="Y82" s="65"/>
      <c r="Z82" s="65"/>
      <c r="AA82" s="65"/>
      <c r="AB82" s="65"/>
      <c r="AC82" s="65"/>
      <c r="AD82" s="65"/>
      <c r="AE82" s="65"/>
      <c r="AF82" s="65"/>
      <c r="AG82" s="65"/>
      <c r="AH82" s="65"/>
      <c r="AI82" s="65"/>
      <c r="AJ82" s="65"/>
      <c r="AK82" s="65"/>
    </row>
    <row r="83" spans="14:37">
      <c r="N83" s="65"/>
      <c r="O83" s="65"/>
      <c r="P83" s="65"/>
      <c r="Q83" s="65"/>
      <c r="R83" s="65"/>
      <c r="S83" s="65"/>
      <c r="T83" s="65"/>
      <c r="U83" s="65"/>
      <c r="V83" s="65"/>
      <c r="W83" s="65"/>
      <c r="X83" s="65"/>
      <c r="Y83" s="65"/>
      <c r="Z83" s="65"/>
      <c r="AA83" s="65"/>
      <c r="AB83" s="65"/>
      <c r="AC83" s="65"/>
      <c r="AD83" s="65"/>
      <c r="AE83" s="65"/>
      <c r="AF83" s="65"/>
      <c r="AG83" s="65"/>
      <c r="AH83" s="65"/>
      <c r="AI83" s="65"/>
      <c r="AJ83" s="65"/>
      <c r="AK83" s="65"/>
    </row>
    <row r="84" spans="14:37">
      <c r="N84" s="65"/>
      <c r="O84" s="65"/>
      <c r="P84" s="65"/>
      <c r="Q84" s="65"/>
      <c r="R84" s="65"/>
      <c r="S84" s="65"/>
      <c r="T84" s="65"/>
      <c r="U84" s="65"/>
      <c r="V84" s="65"/>
      <c r="W84" s="65"/>
      <c r="X84" s="65"/>
      <c r="Y84" s="65"/>
      <c r="Z84" s="65"/>
      <c r="AA84" s="65"/>
      <c r="AB84" s="65"/>
      <c r="AC84" s="65"/>
      <c r="AD84" s="65"/>
      <c r="AE84" s="65"/>
      <c r="AF84" s="65"/>
      <c r="AG84" s="65"/>
      <c r="AH84" s="65"/>
      <c r="AI84" s="65"/>
      <c r="AJ84" s="65"/>
      <c r="AK84" s="65"/>
    </row>
    <row r="85" spans="14:37">
      <c r="N85" s="65"/>
      <c r="O85" s="65"/>
      <c r="P85" s="65"/>
      <c r="Q85" s="65"/>
      <c r="R85" s="65"/>
      <c r="S85" s="65"/>
      <c r="T85" s="65"/>
      <c r="U85" s="65"/>
      <c r="V85" s="65"/>
      <c r="W85" s="65"/>
      <c r="X85" s="65"/>
      <c r="Y85" s="65"/>
      <c r="Z85" s="65"/>
      <c r="AA85" s="65"/>
      <c r="AB85" s="65"/>
      <c r="AC85" s="65"/>
      <c r="AD85" s="65"/>
      <c r="AE85" s="65"/>
      <c r="AF85" s="65"/>
      <c r="AG85" s="65"/>
      <c r="AH85" s="65"/>
      <c r="AI85" s="65"/>
      <c r="AJ85" s="65"/>
      <c r="AK85" s="65"/>
    </row>
    <row r="86" spans="14:37">
      <c r="N86" s="65"/>
      <c r="O86" s="65"/>
      <c r="P86" s="65"/>
      <c r="Q86" s="65"/>
      <c r="R86" s="65"/>
      <c r="S86" s="65"/>
      <c r="T86" s="65"/>
      <c r="U86" s="65"/>
      <c r="V86" s="65"/>
      <c r="W86" s="65"/>
      <c r="X86" s="65"/>
      <c r="Y86" s="65"/>
      <c r="Z86" s="65"/>
      <c r="AA86" s="65"/>
      <c r="AB86" s="65"/>
      <c r="AC86" s="65"/>
      <c r="AD86" s="65"/>
      <c r="AE86" s="65"/>
      <c r="AF86" s="65"/>
      <c r="AG86" s="65"/>
      <c r="AH86" s="65"/>
      <c r="AI86" s="65"/>
      <c r="AJ86" s="65"/>
      <c r="AK86" s="65"/>
    </row>
    <row r="87" spans="14:37">
      <c r="N87" s="65"/>
      <c r="O87" s="65"/>
      <c r="P87" s="65"/>
      <c r="Q87" s="65"/>
      <c r="R87" s="65"/>
      <c r="S87" s="65"/>
      <c r="T87" s="65"/>
      <c r="U87" s="65"/>
      <c r="V87" s="65"/>
      <c r="W87" s="65"/>
      <c r="X87" s="65"/>
      <c r="Y87" s="65"/>
      <c r="Z87" s="65"/>
      <c r="AA87" s="65"/>
      <c r="AB87" s="65"/>
      <c r="AC87" s="65"/>
      <c r="AD87" s="65"/>
      <c r="AE87" s="65"/>
      <c r="AF87" s="65"/>
      <c r="AG87" s="65"/>
      <c r="AH87" s="65"/>
      <c r="AI87" s="65"/>
      <c r="AJ87" s="65"/>
      <c r="AK87" s="65"/>
    </row>
    <row r="88" spans="14:37">
      <c r="N88" s="65"/>
      <c r="O88" s="65"/>
      <c r="P88" s="65"/>
      <c r="Q88" s="65"/>
      <c r="R88" s="65"/>
      <c r="S88" s="65"/>
      <c r="T88" s="65"/>
      <c r="U88" s="65"/>
      <c r="V88" s="65"/>
      <c r="W88" s="65"/>
      <c r="X88" s="65"/>
      <c r="Y88" s="65"/>
      <c r="Z88" s="65"/>
      <c r="AA88" s="65"/>
      <c r="AB88" s="65"/>
      <c r="AC88" s="65"/>
      <c r="AD88" s="65"/>
      <c r="AE88" s="65"/>
      <c r="AF88" s="65"/>
      <c r="AG88" s="65"/>
      <c r="AH88" s="65"/>
      <c r="AI88" s="65"/>
      <c r="AJ88" s="65"/>
      <c r="AK88" s="65"/>
    </row>
    <row r="89" spans="14:37">
      <c r="N89" s="65"/>
      <c r="O89" s="65"/>
      <c r="P89" s="65"/>
      <c r="Q89" s="65"/>
      <c r="R89" s="65"/>
      <c r="S89" s="65"/>
      <c r="T89" s="65"/>
      <c r="U89" s="65"/>
      <c r="V89" s="65"/>
      <c r="W89" s="65"/>
      <c r="X89" s="65"/>
      <c r="Y89" s="65"/>
      <c r="Z89" s="65"/>
      <c r="AA89" s="65"/>
      <c r="AB89" s="65"/>
      <c r="AC89" s="65"/>
      <c r="AD89" s="65"/>
      <c r="AE89" s="65"/>
      <c r="AF89" s="65"/>
      <c r="AG89" s="65"/>
      <c r="AH89" s="65"/>
      <c r="AI89" s="65"/>
      <c r="AJ89" s="65"/>
      <c r="AK89" s="65"/>
    </row>
    <row r="90" spans="14:37">
      <c r="N90" s="65"/>
      <c r="O90" s="65"/>
      <c r="P90" s="65"/>
      <c r="Q90" s="65"/>
      <c r="R90" s="65"/>
      <c r="S90" s="65"/>
      <c r="T90" s="65"/>
      <c r="U90" s="65"/>
      <c r="V90" s="65"/>
      <c r="W90" s="65"/>
      <c r="X90" s="65"/>
      <c r="Y90" s="65"/>
      <c r="Z90" s="65"/>
      <c r="AA90" s="65"/>
      <c r="AB90" s="65"/>
      <c r="AC90" s="65"/>
      <c r="AD90" s="65"/>
      <c r="AE90" s="65"/>
      <c r="AF90" s="65"/>
      <c r="AG90" s="65"/>
      <c r="AH90" s="65"/>
      <c r="AI90" s="65"/>
      <c r="AJ90" s="65"/>
      <c r="AK90" s="65"/>
    </row>
    <row r="91" spans="14:37">
      <c r="N91" s="65"/>
      <c r="O91" s="65"/>
      <c r="P91" s="65"/>
      <c r="Q91" s="65"/>
      <c r="R91" s="65"/>
      <c r="S91" s="65"/>
      <c r="T91" s="65"/>
      <c r="U91" s="65"/>
      <c r="V91" s="65"/>
      <c r="W91" s="65"/>
      <c r="X91" s="65"/>
      <c r="Y91" s="65"/>
      <c r="Z91" s="65"/>
      <c r="AA91" s="65"/>
      <c r="AB91" s="65"/>
      <c r="AC91" s="65"/>
      <c r="AD91" s="65"/>
      <c r="AE91" s="65"/>
      <c r="AF91" s="65"/>
      <c r="AG91" s="65"/>
      <c r="AH91" s="65"/>
      <c r="AI91" s="65"/>
      <c r="AJ91" s="65"/>
      <c r="AK91" s="65"/>
    </row>
    <row r="92" spans="14:37">
      <c r="N92" s="65"/>
      <c r="O92" s="65"/>
      <c r="P92" s="65"/>
      <c r="Q92" s="65"/>
      <c r="R92" s="65"/>
      <c r="S92" s="65"/>
      <c r="T92" s="65"/>
      <c r="U92" s="65"/>
      <c r="V92" s="65"/>
      <c r="W92" s="65"/>
      <c r="X92" s="65"/>
      <c r="Y92" s="65"/>
      <c r="Z92" s="65"/>
      <c r="AA92" s="65"/>
      <c r="AB92" s="65"/>
      <c r="AC92" s="65"/>
      <c r="AD92" s="65"/>
      <c r="AE92" s="65"/>
      <c r="AF92" s="65"/>
      <c r="AG92" s="65"/>
      <c r="AH92" s="65"/>
      <c r="AI92" s="65"/>
      <c r="AJ92" s="65"/>
      <c r="AK92" s="65"/>
    </row>
    <row r="93" spans="14:37">
      <c r="N93" s="65"/>
      <c r="O93" s="65"/>
      <c r="P93" s="65"/>
      <c r="Q93" s="65"/>
      <c r="R93" s="65"/>
      <c r="S93" s="65"/>
      <c r="T93" s="65"/>
      <c r="U93" s="65"/>
      <c r="V93" s="65"/>
      <c r="W93" s="65"/>
      <c r="X93" s="65"/>
      <c r="Y93" s="65"/>
      <c r="Z93" s="65"/>
      <c r="AA93" s="65"/>
      <c r="AB93" s="65"/>
      <c r="AC93" s="65"/>
      <c r="AD93" s="65"/>
      <c r="AE93" s="65"/>
      <c r="AF93" s="65"/>
      <c r="AG93" s="65"/>
      <c r="AH93" s="65"/>
      <c r="AI93" s="65"/>
      <c r="AJ93" s="65"/>
      <c r="AK93" s="65"/>
    </row>
    <row r="94" spans="14:37">
      <c r="N94" s="65"/>
      <c r="O94" s="65"/>
      <c r="P94" s="65"/>
      <c r="Q94" s="65"/>
      <c r="R94" s="65"/>
      <c r="S94" s="65"/>
      <c r="T94" s="65"/>
      <c r="U94" s="65"/>
      <c r="V94" s="65"/>
      <c r="W94" s="65"/>
      <c r="X94" s="65"/>
      <c r="Y94" s="65"/>
      <c r="Z94" s="65"/>
      <c r="AA94" s="65"/>
      <c r="AB94" s="65"/>
      <c r="AC94" s="65"/>
      <c r="AD94" s="65"/>
      <c r="AE94" s="65"/>
      <c r="AF94" s="65"/>
      <c r="AG94" s="65"/>
      <c r="AH94" s="65"/>
      <c r="AI94" s="65"/>
      <c r="AJ94" s="65"/>
      <c r="AK94" s="65"/>
    </row>
    <row r="95" spans="14:37">
      <c r="N95" s="65"/>
      <c r="O95" s="65"/>
      <c r="P95" s="65"/>
      <c r="Q95" s="65"/>
      <c r="R95" s="65"/>
      <c r="S95" s="65"/>
      <c r="T95" s="65"/>
      <c r="U95" s="65"/>
      <c r="V95" s="65"/>
      <c r="W95" s="65"/>
      <c r="X95" s="65"/>
      <c r="Y95" s="65"/>
      <c r="Z95" s="65"/>
      <c r="AA95" s="65"/>
      <c r="AB95" s="65"/>
      <c r="AC95" s="65"/>
      <c r="AD95" s="65"/>
      <c r="AE95" s="65"/>
      <c r="AF95" s="65"/>
      <c r="AG95" s="65"/>
      <c r="AH95" s="65"/>
      <c r="AI95" s="65"/>
      <c r="AJ95" s="65"/>
      <c r="AK95" s="65"/>
    </row>
    <row r="96" spans="14:37">
      <c r="N96" s="65"/>
      <c r="O96" s="65"/>
      <c r="P96" s="65"/>
      <c r="Q96" s="65"/>
      <c r="R96" s="65"/>
      <c r="S96" s="65"/>
      <c r="T96" s="65"/>
      <c r="U96" s="65"/>
      <c r="V96" s="65"/>
      <c r="W96" s="65"/>
      <c r="X96" s="65"/>
      <c r="Y96" s="65"/>
      <c r="Z96" s="65"/>
      <c r="AA96" s="65"/>
      <c r="AB96" s="65"/>
      <c r="AC96" s="65"/>
      <c r="AD96" s="65"/>
      <c r="AE96" s="65"/>
      <c r="AF96" s="65"/>
      <c r="AG96" s="65"/>
      <c r="AH96" s="65"/>
      <c r="AI96" s="65"/>
      <c r="AJ96" s="65"/>
      <c r="AK96" s="65"/>
    </row>
    <row r="97" spans="14:37">
      <c r="N97" s="65"/>
      <c r="O97" s="65"/>
      <c r="P97" s="65"/>
      <c r="Q97" s="65"/>
      <c r="R97" s="65"/>
      <c r="S97" s="65"/>
      <c r="T97" s="65"/>
      <c r="U97" s="65"/>
      <c r="V97" s="65"/>
      <c r="W97" s="65"/>
      <c r="X97" s="65"/>
      <c r="Y97" s="65"/>
      <c r="Z97" s="65"/>
      <c r="AA97" s="65"/>
      <c r="AB97" s="65"/>
      <c r="AC97" s="65"/>
      <c r="AD97" s="65"/>
      <c r="AE97" s="65"/>
      <c r="AF97" s="65"/>
      <c r="AG97" s="65"/>
      <c r="AH97" s="65"/>
      <c r="AI97" s="65"/>
      <c r="AJ97" s="65"/>
      <c r="AK97" s="65"/>
    </row>
    <row r="98" spans="14:37">
      <c r="N98" s="65"/>
      <c r="O98" s="65"/>
      <c r="P98" s="65"/>
      <c r="Q98" s="65"/>
      <c r="R98" s="65"/>
      <c r="S98" s="65"/>
      <c r="T98" s="65"/>
      <c r="U98" s="65"/>
      <c r="V98" s="65"/>
      <c r="W98" s="65"/>
      <c r="X98" s="65"/>
      <c r="Y98" s="65"/>
      <c r="Z98" s="65"/>
      <c r="AA98" s="65"/>
      <c r="AB98" s="65"/>
      <c r="AC98" s="65"/>
      <c r="AD98" s="65"/>
      <c r="AE98" s="65"/>
      <c r="AF98" s="65"/>
      <c r="AG98" s="65"/>
      <c r="AH98" s="65"/>
      <c r="AI98" s="65"/>
      <c r="AJ98" s="65"/>
      <c r="AK98" s="65"/>
    </row>
    <row r="99" spans="14:37">
      <c r="N99" s="65"/>
      <c r="O99" s="65"/>
      <c r="P99" s="65"/>
      <c r="Q99" s="65"/>
      <c r="R99" s="65"/>
      <c r="S99" s="65"/>
      <c r="T99" s="65"/>
      <c r="U99" s="65"/>
      <c r="V99" s="65"/>
      <c r="W99" s="65"/>
      <c r="X99" s="65"/>
      <c r="Y99" s="65"/>
      <c r="Z99" s="65"/>
      <c r="AA99" s="65"/>
      <c r="AB99" s="65"/>
      <c r="AC99" s="65"/>
      <c r="AD99" s="65"/>
      <c r="AE99" s="65"/>
      <c r="AF99" s="65"/>
      <c r="AG99" s="65"/>
      <c r="AH99" s="65"/>
      <c r="AI99" s="65"/>
      <c r="AJ99" s="65"/>
      <c r="AK99" s="65"/>
    </row>
    <row r="100" spans="14:37">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row>
    <row r="101" spans="14:37">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row>
    <row r="102" spans="14:37">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row>
    <row r="103" spans="14:37">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row>
    <row r="104" spans="14:37">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row>
    <row r="105" spans="14:37">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row>
    <row r="107" spans="12:12">
      <c r="L107" s="1"/>
    </row>
  </sheetData>
  <sheetProtection selectLockedCells="1" selectUnlockedCells="1"/>
  <pageMargins left="0.7" right="0.7" top="0.75" bottom="0.75" header="0.3" footer="0.3"/>
  <pageSetup paperSize="1" scale="35" orientation="landscape"/>
  <headerFooter>
    <oddHeader>&amp;R&amp;"Calibri"&amp;10&amp;K808080EIU / HUAWEI ICT GLOBALISATION INDEX 2013</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E1:L15"/>
  <sheetViews>
    <sheetView showGridLines="0" showRowColHeaders="0" workbookViewId="0">
      <selection activeCell="G1" sqref="G1"/>
    </sheetView>
  </sheetViews>
  <sheetFormatPr defaultColWidth="9" defaultRowHeight="15"/>
  <cols>
    <col min="1" max="1" width="3.71428571428571" style="145" customWidth="1"/>
    <col min="2" max="15" width="9.14285714285714" style="145"/>
    <col min="16" max="16" width="3.71428571428571" style="145" customWidth="1"/>
    <col min="17" max="229" width="9.14285714285714" style="145"/>
    <col min="230" max="230" width="3.71428571428571" style="145" customWidth="1"/>
    <col min="231" max="244" width="9.14285714285714" style="145"/>
    <col min="245" max="245" width="3.71428571428571" style="145" customWidth="1"/>
    <col min="246" max="485" width="9.14285714285714" style="145"/>
    <col min="486" max="486" width="3.71428571428571" style="145" customWidth="1"/>
    <col min="487" max="500" width="9.14285714285714" style="145"/>
    <col min="501" max="501" width="3.71428571428571" style="145" customWidth="1"/>
    <col min="502" max="741" width="9.14285714285714" style="145"/>
    <col min="742" max="742" width="3.71428571428571" style="145" customWidth="1"/>
    <col min="743" max="756" width="9.14285714285714" style="145"/>
    <col min="757" max="757" width="3.71428571428571" style="145" customWidth="1"/>
    <col min="758" max="997" width="9.14285714285714" style="145"/>
    <col min="998" max="998" width="3.71428571428571" style="145" customWidth="1"/>
    <col min="999" max="1012" width="9.14285714285714" style="145"/>
    <col min="1013" max="1013" width="3.71428571428571" style="145" customWidth="1"/>
    <col min="1014" max="1253" width="9.14285714285714" style="145"/>
    <col min="1254" max="1254" width="3.71428571428571" style="145" customWidth="1"/>
    <col min="1255" max="1268" width="9.14285714285714" style="145"/>
    <col min="1269" max="1269" width="3.71428571428571" style="145" customWidth="1"/>
    <col min="1270" max="1509" width="9.14285714285714" style="145"/>
    <col min="1510" max="1510" width="3.71428571428571" style="145" customWidth="1"/>
    <col min="1511" max="1524" width="9.14285714285714" style="145"/>
    <col min="1525" max="1525" width="3.71428571428571" style="145" customWidth="1"/>
    <col min="1526" max="1765" width="9.14285714285714" style="145"/>
    <col min="1766" max="1766" width="3.71428571428571" style="145" customWidth="1"/>
    <col min="1767" max="1780" width="9.14285714285714" style="145"/>
    <col min="1781" max="1781" width="3.71428571428571" style="145" customWidth="1"/>
    <col min="1782" max="2021" width="9.14285714285714" style="145"/>
    <col min="2022" max="2022" width="3.71428571428571" style="145" customWidth="1"/>
    <col min="2023" max="2036" width="9.14285714285714" style="145"/>
    <col min="2037" max="2037" width="3.71428571428571" style="145" customWidth="1"/>
    <col min="2038" max="2277" width="9.14285714285714" style="145"/>
    <col min="2278" max="2278" width="3.71428571428571" style="145" customWidth="1"/>
    <col min="2279" max="2292" width="9.14285714285714" style="145"/>
    <col min="2293" max="2293" width="3.71428571428571" style="145" customWidth="1"/>
    <col min="2294" max="2533" width="9.14285714285714" style="145"/>
    <col min="2534" max="2534" width="3.71428571428571" style="145" customWidth="1"/>
    <col min="2535" max="2548" width="9.14285714285714" style="145"/>
    <col min="2549" max="2549" width="3.71428571428571" style="145" customWidth="1"/>
    <col min="2550" max="2789" width="9.14285714285714" style="145"/>
    <col min="2790" max="2790" width="3.71428571428571" style="145" customWidth="1"/>
    <col min="2791" max="2804" width="9.14285714285714" style="145"/>
    <col min="2805" max="2805" width="3.71428571428571" style="145" customWidth="1"/>
    <col min="2806" max="3045" width="9.14285714285714" style="145"/>
    <col min="3046" max="3046" width="3.71428571428571" style="145" customWidth="1"/>
    <col min="3047" max="3060" width="9.14285714285714" style="145"/>
    <col min="3061" max="3061" width="3.71428571428571" style="145" customWidth="1"/>
    <col min="3062" max="3301" width="9.14285714285714" style="145"/>
    <col min="3302" max="3302" width="3.71428571428571" style="145" customWidth="1"/>
    <col min="3303" max="3316" width="9.14285714285714" style="145"/>
    <col min="3317" max="3317" width="3.71428571428571" style="145" customWidth="1"/>
    <col min="3318" max="3557" width="9.14285714285714" style="145"/>
    <col min="3558" max="3558" width="3.71428571428571" style="145" customWidth="1"/>
    <col min="3559" max="3572" width="9.14285714285714" style="145"/>
    <col min="3573" max="3573" width="3.71428571428571" style="145" customWidth="1"/>
    <col min="3574" max="3813" width="9.14285714285714" style="145"/>
    <col min="3814" max="3814" width="3.71428571428571" style="145" customWidth="1"/>
    <col min="3815" max="3828" width="9.14285714285714" style="145"/>
    <col min="3829" max="3829" width="3.71428571428571" style="145" customWidth="1"/>
    <col min="3830" max="4069" width="9.14285714285714" style="145"/>
    <col min="4070" max="4070" width="3.71428571428571" style="145" customWidth="1"/>
    <col min="4071" max="4084" width="9.14285714285714" style="145"/>
    <col min="4085" max="4085" width="3.71428571428571" style="145" customWidth="1"/>
    <col min="4086" max="4325" width="9.14285714285714" style="145"/>
    <col min="4326" max="4326" width="3.71428571428571" style="145" customWidth="1"/>
    <col min="4327" max="4340" width="9.14285714285714" style="145"/>
    <col min="4341" max="4341" width="3.71428571428571" style="145" customWidth="1"/>
    <col min="4342" max="4581" width="9.14285714285714" style="145"/>
    <col min="4582" max="4582" width="3.71428571428571" style="145" customWidth="1"/>
    <col min="4583" max="4596" width="9.14285714285714" style="145"/>
    <col min="4597" max="4597" width="3.71428571428571" style="145" customWidth="1"/>
    <col min="4598" max="4837" width="9.14285714285714" style="145"/>
    <col min="4838" max="4838" width="3.71428571428571" style="145" customWidth="1"/>
    <col min="4839" max="4852" width="9.14285714285714" style="145"/>
    <col min="4853" max="4853" width="3.71428571428571" style="145" customWidth="1"/>
    <col min="4854" max="5093" width="9.14285714285714" style="145"/>
    <col min="5094" max="5094" width="3.71428571428571" style="145" customWidth="1"/>
    <col min="5095" max="5108" width="9.14285714285714" style="145"/>
    <col min="5109" max="5109" width="3.71428571428571" style="145" customWidth="1"/>
    <col min="5110" max="5349" width="9.14285714285714" style="145"/>
    <col min="5350" max="5350" width="3.71428571428571" style="145" customWidth="1"/>
    <col min="5351" max="5364" width="9.14285714285714" style="145"/>
    <col min="5365" max="5365" width="3.71428571428571" style="145" customWidth="1"/>
    <col min="5366" max="5605" width="9.14285714285714" style="145"/>
    <col min="5606" max="5606" width="3.71428571428571" style="145" customWidth="1"/>
    <col min="5607" max="5620" width="9.14285714285714" style="145"/>
    <col min="5621" max="5621" width="3.71428571428571" style="145" customWidth="1"/>
    <col min="5622" max="5861" width="9.14285714285714" style="145"/>
    <col min="5862" max="5862" width="3.71428571428571" style="145" customWidth="1"/>
    <col min="5863" max="5876" width="9.14285714285714" style="145"/>
    <col min="5877" max="5877" width="3.71428571428571" style="145" customWidth="1"/>
    <col min="5878" max="6117" width="9.14285714285714" style="145"/>
    <col min="6118" max="6118" width="3.71428571428571" style="145" customWidth="1"/>
    <col min="6119" max="6132" width="9.14285714285714" style="145"/>
    <col min="6133" max="6133" width="3.71428571428571" style="145" customWidth="1"/>
    <col min="6134" max="6373" width="9.14285714285714" style="145"/>
    <col min="6374" max="6374" width="3.71428571428571" style="145" customWidth="1"/>
    <col min="6375" max="6388" width="9.14285714285714" style="145"/>
    <col min="6389" max="6389" width="3.71428571428571" style="145" customWidth="1"/>
    <col min="6390" max="6629" width="9.14285714285714" style="145"/>
    <col min="6630" max="6630" width="3.71428571428571" style="145" customWidth="1"/>
    <col min="6631" max="6644" width="9.14285714285714" style="145"/>
    <col min="6645" max="6645" width="3.71428571428571" style="145" customWidth="1"/>
    <col min="6646" max="6885" width="9.14285714285714" style="145"/>
    <col min="6886" max="6886" width="3.71428571428571" style="145" customWidth="1"/>
    <col min="6887" max="6900" width="9.14285714285714" style="145"/>
    <col min="6901" max="6901" width="3.71428571428571" style="145" customWidth="1"/>
    <col min="6902" max="7141" width="9.14285714285714" style="145"/>
    <col min="7142" max="7142" width="3.71428571428571" style="145" customWidth="1"/>
    <col min="7143" max="7156" width="9.14285714285714" style="145"/>
    <col min="7157" max="7157" width="3.71428571428571" style="145" customWidth="1"/>
    <col min="7158" max="7397" width="9.14285714285714" style="145"/>
    <col min="7398" max="7398" width="3.71428571428571" style="145" customWidth="1"/>
    <col min="7399" max="7412" width="9.14285714285714" style="145"/>
    <col min="7413" max="7413" width="3.71428571428571" style="145" customWidth="1"/>
    <col min="7414" max="7653" width="9.14285714285714" style="145"/>
    <col min="7654" max="7654" width="3.71428571428571" style="145" customWidth="1"/>
    <col min="7655" max="7668" width="9.14285714285714" style="145"/>
    <col min="7669" max="7669" width="3.71428571428571" style="145" customWidth="1"/>
    <col min="7670" max="7909" width="9.14285714285714" style="145"/>
    <col min="7910" max="7910" width="3.71428571428571" style="145" customWidth="1"/>
    <col min="7911" max="7924" width="9.14285714285714" style="145"/>
    <col min="7925" max="7925" width="3.71428571428571" style="145" customWidth="1"/>
    <col min="7926" max="8165" width="9.14285714285714" style="145"/>
    <col min="8166" max="8166" width="3.71428571428571" style="145" customWidth="1"/>
    <col min="8167" max="8180" width="9.14285714285714" style="145"/>
    <col min="8181" max="8181" width="3.71428571428571" style="145" customWidth="1"/>
    <col min="8182" max="8421" width="9.14285714285714" style="145"/>
    <col min="8422" max="8422" width="3.71428571428571" style="145" customWidth="1"/>
    <col min="8423" max="8436" width="9.14285714285714" style="145"/>
    <col min="8437" max="8437" width="3.71428571428571" style="145" customWidth="1"/>
    <col min="8438" max="8677" width="9.14285714285714" style="145"/>
    <col min="8678" max="8678" width="3.71428571428571" style="145" customWidth="1"/>
    <col min="8679" max="8692" width="9.14285714285714" style="145"/>
    <col min="8693" max="8693" width="3.71428571428571" style="145" customWidth="1"/>
    <col min="8694" max="8933" width="9.14285714285714" style="145"/>
    <col min="8934" max="8934" width="3.71428571428571" style="145" customWidth="1"/>
    <col min="8935" max="8948" width="9.14285714285714" style="145"/>
    <col min="8949" max="8949" width="3.71428571428571" style="145" customWidth="1"/>
    <col min="8950" max="9189" width="9.14285714285714" style="145"/>
    <col min="9190" max="9190" width="3.71428571428571" style="145" customWidth="1"/>
    <col min="9191" max="9204" width="9.14285714285714" style="145"/>
    <col min="9205" max="9205" width="3.71428571428571" style="145" customWidth="1"/>
    <col min="9206" max="9445" width="9.14285714285714" style="145"/>
    <col min="9446" max="9446" width="3.71428571428571" style="145" customWidth="1"/>
    <col min="9447" max="9460" width="9.14285714285714" style="145"/>
    <col min="9461" max="9461" width="3.71428571428571" style="145" customWidth="1"/>
    <col min="9462" max="9701" width="9.14285714285714" style="145"/>
    <col min="9702" max="9702" width="3.71428571428571" style="145" customWidth="1"/>
    <col min="9703" max="9716" width="9.14285714285714" style="145"/>
    <col min="9717" max="9717" width="3.71428571428571" style="145" customWidth="1"/>
    <col min="9718" max="9957" width="9.14285714285714" style="145"/>
    <col min="9958" max="9958" width="3.71428571428571" style="145" customWidth="1"/>
    <col min="9959" max="9972" width="9.14285714285714" style="145"/>
    <col min="9973" max="9973" width="3.71428571428571" style="145" customWidth="1"/>
    <col min="9974" max="10213" width="9.14285714285714" style="145"/>
    <col min="10214" max="10214" width="3.71428571428571" style="145" customWidth="1"/>
    <col min="10215" max="10228" width="9.14285714285714" style="145"/>
    <col min="10229" max="10229" width="3.71428571428571" style="145" customWidth="1"/>
    <col min="10230" max="10469" width="9.14285714285714" style="145"/>
    <col min="10470" max="10470" width="3.71428571428571" style="145" customWidth="1"/>
    <col min="10471" max="10484" width="9.14285714285714" style="145"/>
    <col min="10485" max="10485" width="3.71428571428571" style="145" customWidth="1"/>
    <col min="10486" max="10725" width="9.14285714285714" style="145"/>
    <col min="10726" max="10726" width="3.71428571428571" style="145" customWidth="1"/>
    <col min="10727" max="10740" width="9.14285714285714" style="145"/>
    <col min="10741" max="10741" width="3.71428571428571" style="145" customWidth="1"/>
    <col min="10742" max="10981" width="9.14285714285714" style="145"/>
    <col min="10982" max="10982" width="3.71428571428571" style="145" customWidth="1"/>
    <col min="10983" max="10996" width="9.14285714285714" style="145"/>
    <col min="10997" max="10997" width="3.71428571428571" style="145" customWidth="1"/>
    <col min="10998" max="11237" width="9.14285714285714" style="145"/>
    <col min="11238" max="11238" width="3.71428571428571" style="145" customWidth="1"/>
    <col min="11239" max="11252" width="9.14285714285714" style="145"/>
    <col min="11253" max="11253" width="3.71428571428571" style="145" customWidth="1"/>
    <col min="11254" max="11493" width="9.14285714285714" style="145"/>
    <col min="11494" max="11494" width="3.71428571428571" style="145" customWidth="1"/>
    <col min="11495" max="11508" width="9.14285714285714" style="145"/>
    <col min="11509" max="11509" width="3.71428571428571" style="145" customWidth="1"/>
    <col min="11510" max="11749" width="9.14285714285714" style="145"/>
    <col min="11750" max="11750" width="3.71428571428571" style="145" customWidth="1"/>
    <col min="11751" max="11764" width="9.14285714285714" style="145"/>
    <col min="11765" max="11765" width="3.71428571428571" style="145" customWidth="1"/>
    <col min="11766" max="12005" width="9.14285714285714" style="145"/>
    <col min="12006" max="12006" width="3.71428571428571" style="145" customWidth="1"/>
    <col min="12007" max="12020" width="9.14285714285714" style="145"/>
    <col min="12021" max="12021" width="3.71428571428571" style="145" customWidth="1"/>
    <col min="12022" max="12261" width="9.14285714285714" style="145"/>
    <col min="12262" max="12262" width="3.71428571428571" style="145" customWidth="1"/>
    <col min="12263" max="12276" width="9.14285714285714" style="145"/>
    <col min="12277" max="12277" width="3.71428571428571" style="145" customWidth="1"/>
    <col min="12278" max="12517" width="9.14285714285714" style="145"/>
    <col min="12518" max="12518" width="3.71428571428571" style="145" customWidth="1"/>
    <col min="12519" max="12532" width="9.14285714285714" style="145"/>
    <col min="12533" max="12533" width="3.71428571428571" style="145" customWidth="1"/>
    <col min="12534" max="12773" width="9.14285714285714" style="145"/>
    <col min="12774" max="12774" width="3.71428571428571" style="145" customWidth="1"/>
    <col min="12775" max="12788" width="9.14285714285714" style="145"/>
    <col min="12789" max="12789" width="3.71428571428571" style="145" customWidth="1"/>
    <col min="12790" max="13029" width="9.14285714285714" style="145"/>
    <col min="13030" max="13030" width="3.71428571428571" style="145" customWidth="1"/>
    <col min="13031" max="13044" width="9.14285714285714" style="145"/>
    <col min="13045" max="13045" width="3.71428571428571" style="145" customWidth="1"/>
    <col min="13046" max="13285" width="9.14285714285714" style="145"/>
    <col min="13286" max="13286" width="3.71428571428571" style="145" customWidth="1"/>
    <col min="13287" max="13300" width="9.14285714285714" style="145"/>
    <col min="13301" max="13301" width="3.71428571428571" style="145" customWidth="1"/>
    <col min="13302" max="13541" width="9.14285714285714" style="145"/>
    <col min="13542" max="13542" width="3.71428571428571" style="145" customWidth="1"/>
    <col min="13543" max="13556" width="9.14285714285714" style="145"/>
    <col min="13557" max="13557" width="3.71428571428571" style="145" customWidth="1"/>
    <col min="13558" max="13797" width="9.14285714285714" style="145"/>
    <col min="13798" max="13798" width="3.71428571428571" style="145" customWidth="1"/>
    <col min="13799" max="13812" width="9.14285714285714" style="145"/>
    <col min="13813" max="13813" width="3.71428571428571" style="145" customWidth="1"/>
    <col min="13814" max="14053" width="9.14285714285714" style="145"/>
    <col min="14054" max="14054" width="3.71428571428571" style="145" customWidth="1"/>
    <col min="14055" max="14068" width="9.14285714285714" style="145"/>
    <col min="14069" max="14069" width="3.71428571428571" style="145" customWidth="1"/>
    <col min="14070" max="14309" width="9.14285714285714" style="145"/>
    <col min="14310" max="14310" width="3.71428571428571" style="145" customWidth="1"/>
    <col min="14311" max="14324" width="9.14285714285714" style="145"/>
    <col min="14325" max="14325" width="3.71428571428571" style="145" customWidth="1"/>
    <col min="14326" max="14565" width="9.14285714285714" style="145"/>
    <col min="14566" max="14566" width="3.71428571428571" style="145" customWidth="1"/>
    <col min="14567" max="14580" width="9.14285714285714" style="145"/>
    <col min="14581" max="14581" width="3.71428571428571" style="145" customWidth="1"/>
    <col min="14582" max="14821" width="9.14285714285714" style="145"/>
    <col min="14822" max="14822" width="3.71428571428571" style="145" customWidth="1"/>
    <col min="14823" max="14836" width="9.14285714285714" style="145"/>
    <col min="14837" max="14837" width="3.71428571428571" style="145" customWidth="1"/>
    <col min="14838" max="15077" width="9.14285714285714" style="145"/>
    <col min="15078" max="15078" width="3.71428571428571" style="145" customWidth="1"/>
    <col min="15079" max="15092" width="9.14285714285714" style="145"/>
    <col min="15093" max="15093" width="3.71428571428571" style="145" customWidth="1"/>
    <col min="15094" max="15333" width="9.14285714285714" style="145"/>
    <col min="15334" max="15334" width="3.71428571428571" style="145" customWidth="1"/>
    <col min="15335" max="15348" width="9.14285714285714" style="145"/>
    <col min="15349" max="15349" width="3.71428571428571" style="145" customWidth="1"/>
    <col min="15350" max="15589" width="9.14285714285714" style="145"/>
    <col min="15590" max="15590" width="3.71428571428571" style="145" customWidth="1"/>
    <col min="15591" max="15604" width="9.14285714285714" style="145"/>
    <col min="15605" max="15605" width="3.71428571428571" style="145" customWidth="1"/>
    <col min="15606" max="15845" width="9.14285714285714" style="145"/>
    <col min="15846" max="15846" width="3.71428571428571" style="145" customWidth="1"/>
    <col min="15847" max="15860" width="9.14285714285714" style="145"/>
    <col min="15861" max="15861" width="3.71428571428571" style="145" customWidth="1"/>
    <col min="15862" max="16101" width="9.14285714285714" style="145"/>
    <col min="16102" max="16102" width="3.71428571428571" style="145" customWidth="1"/>
    <col min="16103" max="16116" width="9.14285714285714" style="145"/>
    <col min="16117" max="16117" width="3.71428571428571" style="145" customWidth="1"/>
    <col min="16118" max="16384" width="9.14285714285714" style="145"/>
  </cols>
  <sheetData>
    <row r="1" ht="32.25" customHeight="1"/>
    <row r="2" ht="45" customHeight="1"/>
    <row r="15" ht="38.25" customHeight="1" spans="5:12">
      <c r="E15" s="175" t="s">
        <v>1617</v>
      </c>
      <c r="F15" s="175"/>
      <c r="G15" s="175"/>
      <c r="H15" s="175"/>
      <c r="I15" s="175"/>
      <c r="J15" s="175"/>
      <c r="K15" s="175"/>
      <c r="L15" s="175"/>
    </row>
  </sheetData>
  <sheetProtection selectLockedCells="1" selectUnlockedCells="1"/>
  <mergeCells count="1">
    <mergeCell ref="E15:L15"/>
  </mergeCells>
  <pageMargins left="0.7" right="0.7" top="0.75" bottom="0.75" header="0.3" footer="0.3"/>
  <pageSetup paperSize="1" orientation="portrait"/>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C000"/>
  </sheetPr>
  <dimension ref="A5:BU90"/>
  <sheetViews>
    <sheetView topLeftCell="L7" workbookViewId="0">
      <selection activeCell="AB7" sqref="AB7"/>
    </sheetView>
  </sheetViews>
  <sheetFormatPr defaultColWidth="9" defaultRowHeight="11.25"/>
  <cols>
    <col min="1" max="14" width="9.14285714285714" style="85"/>
    <col min="15" max="16" width="6.42857142857143" style="85" customWidth="1"/>
    <col min="17" max="17" width="4" style="85" customWidth="1"/>
    <col min="18" max="18" width="6.42857142857143" style="85" customWidth="1"/>
    <col min="19" max="20" width="4" style="85" customWidth="1"/>
    <col min="21" max="21" width="8.28571428571429" style="85" customWidth="1"/>
    <col min="22" max="22" width="27.7142857142857" style="85" customWidth="1"/>
    <col min="23" max="23" width="10.4285714285714" style="85" customWidth="1"/>
    <col min="24" max="24" width="5.42857142857143" style="85" customWidth="1"/>
    <col min="25" max="25" width="7.85714285714286" style="85" customWidth="1"/>
    <col min="26" max="26" width="5.42857142857143" style="85" customWidth="1"/>
    <col min="27" max="27" width="10.4285714285714" style="85" customWidth="1"/>
    <col min="28" max="28" width="4" style="85" customWidth="1"/>
    <col min="29" max="29" width="10.4285714285714" style="85" customWidth="1"/>
    <col min="30" max="30" width="4" style="85" customWidth="1"/>
    <col min="31" max="31" width="11.1428571428571" style="85" customWidth="1"/>
    <col min="32" max="33" width="4" style="85" customWidth="1"/>
    <col min="34" max="34" width="9.14285714285714" style="85"/>
    <col min="35" max="43" width="4" style="85" customWidth="1"/>
    <col min="44" max="44" width="9.14285714285714" style="85"/>
    <col min="45" max="53" width="4" style="85" customWidth="1"/>
    <col min="54" max="54" width="9.14285714285714" style="85"/>
    <col min="55" max="63" width="4" style="85" customWidth="1"/>
    <col min="64" max="64" width="9.14285714285714" style="85"/>
    <col min="65" max="73" width="4" style="85" customWidth="1"/>
    <col min="74" max="270" width="9.14285714285714" style="85"/>
    <col min="271" max="272" width="6.42857142857143" style="85" customWidth="1"/>
    <col min="273" max="273" width="4" style="85" customWidth="1"/>
    <col min="274" max="274" width="6.42857142857143" style="85" customWidth="1"/>
    <col min="275" max="276" width="4" style="85" customWidth="1"/>
    <col min="277" max="277" width="8.28571428571429" style="85" customWidth="1"/>
    <col min="278" max="278" width="27.7142857142857" style="85" customWidth="1"/>
    <col min="279" max="279" width="10.4285714285714" style="85" customWidth="1"/>
    <col min="280" max="280" width="5.42857142857143" style="85" customWidth="1"/>
    <col min="281" max="281" width="7.85714285714286" style="85" customWidth="1"/>
    <col min="282" max="282" width="5.42857142857143" style="85" customWidth="1"/>
    <col min="283" max="283" width="10.4285714285714" style="85" customWidth="1"/>
    <col min="284" max="284" width="4" style="85" customWidth="1"/>
    <col min="285" max="285" width="10.4285714285714" style="85" customWidth="1"/>
    <col min="286" max="286" width="4" style="85" customWidth="1"/>
    <col min="287" max="287" width="11.1428571428571" style="85" customWidth="1"/>
    <col min="288" max="289" width="4" style="85" customWidth="1"/>
    <col min="290" max="290" width="9.14285714285714" style="85"/>
    <col min="291" max="299" width="4" style="85" customWidth="1"/>
    <col min="300" max="300" width="9.14285714285714" style="85"/>
    <col min="301" max="309" width="4" style="85" customWidth="1"/>
    <col min="310" max="310" width="9.14285714285714" style="85"/>
    <col min="311" max="319" width="4" style="85" customWidth="1"/>
    <col min="320" max="320" width="9.14285714285714" style="85"/>
    <col min="321" max="329" width="4" style="85" customWidth="1"/>
    <col min="330" max="526" width="9.14285714285714" style="85"/>
    <col min="527" max="528" width="6.42857142857143" style="85" customWidth="1"/>
    <col min="529" max="529" width="4" style="85" customWidth="1"/>
    <col min="530" max="530" width="6.42857142857143" style="85" customWidth="1"/>
    <col min="531" max="532" width="4" style="85" customWidth="1"/>
    <col min="533" max="533" width="8.28571428571429" style="85" customWidth="1"/>
    <col min="534" max="534" width="27.7142857142857" style="85" customWidth="1"/>
    <col min="535" max="535" width="10.4285714285714" style="85" customWidth="1"/>
    <col min="536" max="536" width="5.42857142857143" style="85" customWidth="1"/>
    <col min="537" max="537" width="7.85714285714286" style="85" customWidth="1"/>
    <col min="538" max="538" width="5.42857142857143" style="85" customWidth="1"/>
    <col min="539" max="539" width="10.4285714285714" style="85" customWidth="1"/>
    <col min="540" max="540" width="4" style="85" customWidth="1"/>
    <col min="541" max="541" width="10.4285714285714" style="85" customWidth="1"/>
    <col min="542" max="542" width="4" style="85" customWidth="1"/>
    <col min="543" max="543" width="11.1428571428571" style="85" customWidth="1"/>
    <col min="544" max="545" width="4" style="85" customWidth="1"/>
    <col min="546" max="546" width="9.14285714285714" style="85"/>
    <col min="547" max="555" width="4" style="85" customWidth="1"/>
    <col min="556" max="556" width="9.14285714285714" style="85"/>
    <col min="557" max="565" width="4" style="85" customWidth="1"/>
    <col min="566" max="566" width="9.14285714285714" style="85"/>
    <col min="567" max="575" width="4" style="85" customWidth="1"/>
    <col min="576" max="576" width="9.14285714285714" style="85"/>
    <col min="577" max="585" width="4" style="85" customWidth="1"/>
    <col min="586" max="782" width="9.14285714285714" style="85"/>
    <col min="783" max="784" width="6.42857142857143" style="85" customWidth="1"/>
    <col min="785" max="785" width="4" style="85" customWidth="1"/>
    <col min="786" max="786" width="6.42857142857143" style="85" customWidth="1"/>
    <col min="787" max="788" width="4" style="85" customWidth="1"/>
    <col min="789" max="789" width="8.28571428571429" style="85" customWidth="1"/>
    <col min="790" max="790" width="27.7142857142857" style="85" customWidth="1"/>
    <col min="791" max="791" width="10.4285714285714" style="85" customWidth="1"/>
    <col min="792" max="792" width="5.42857142857143" style="85" customWidth="1"/>
    <col min="793" max="793" width="7.85714285714286" style="85" customWidth="1"/>
    <col min="794" max="794" width="5.42857142857143" style="85" customWidth="1"/>
    <col min="795" max="795" width="10.4285714285714" style="85" customWidth="1"/>
    <col min="796" max="796" width="4" style="85" customWidth="1"/>
    <col min="797" max="797" width="10.4285714285714" style="85" customWidth="1"/>
    <col min="798" max="798" width="4" style="85" customWidth="1"/>
    <col min="799" max="799" width="11.1428571428571" style="85" customWidth="1"/>
    <col min="800" max="801" width="4" style="85" customWidth="1"/>
    <col min="802" max="802" width="9.14285714285714" style="85"/>
    <col min="803" max="811" width="4" style="85" customWidth="1"/>
    <col min="812" max="812" width="9.14285714285714" style="85"/>
    <col min="813" max="821" width="4" style="85" customWidth="1"/>
    <col min="822" max="822" width="9.14285714285714" style="85"/>
    <col min="823" max="831" width="4" style="85" customWidth="1"/>
    <col min="832" max="832" width="9.14285714285714" style="85"/>
    <col min="833" max="841" width="4" style="85" customWidth="1"/>
    <col min="842" max="1038" width="9.14285714285714" style="85"/>
    <col min="1039" max="1040" width="6.42857142857143" style="85" customWidth="1"/>
    <col min="1041" max="1041" width="4" style="85" customWidth="1"/>
    <col min="1042" max="1042" width="6.42857142857143" style="85" customWidth="1"/>
    <col min="1043" max="1044" width="4" style="85" customWidth="1"/>
    <col min="1045" max="1045" width="8.28571428571429" style="85" customWidth="1"/>
    <col min="1046" max="1046" width="27.7142857142857" style="85" customWidth="1"/>
    <col min="1047" max="1047" width="10.4285714285714" style="85" customWidth="1"/>
    <col min="1048" max="1048" width="5.42857142857143" style="85" customWidth="1"/>
    <col min="1049" max="1049" width="7.85714285714286" style="85" customWidth="1"/>
    <col min="1050" max="1050" width="5.42857142857143" style="85" customWidth="1"/>
    <col min="1051" max="1051" width="10.4285714285714" style="85" customWidth="1"/>
    <col min="1052" max="1052" width="4" style="85" customWidth="1"/>
    <col min="1053" max="1053" width="10.4285714285714" style="85" customWidth="1"/>
    <col min="1054" max="1054" width="4" style="85" customWidth="1"/>
    <col min="1055" max="1055" width="11.1428571428571" style="85" customWidth="1"/>
    <col min="1056" max="1057" width="4" style="85" customWidth="1"/>
    <col min="1058" max="1058" width="9.14285714285714" style="85"/>
    <col min="1059" max="1067" width="4" style="85" customWidth="1"/>
    <col min="1068" max="1068" width="9.14285714285714" style="85"/>
    <col min="1069" max="1077" width="4" style="85" customWidth="1"/>
    <col min="1078" max="1078" width="9.14285714285714" style="85"/>
    <col min="1079" max="1087" width="4" style="85" customWidth="1"/>
    <col min="1088" max="1088" width="9.14285714285714" style="85"/>
    <col min="1089" max="1097" width="4" style="85" customWidth="1"/>
    <col min="1098" max="1294" width="9.14285714285714" style="85"/>
    <col min="1295" max="1296" width="6.42857142857143" style="85" customWidth="1"/>
    <col min="1297" max="1297" width="4" style="85" customWidth="1"/>
    <col min="1298" max="1298" width="6.42857142857143" style="85" customWidth="1"/>
    <col min="1299" max="1300" width="4" style="85" customWidth="1"/>
    <col min="1301" max="1301" width="8.28571428571429" style="85" customWidth="1"/>
    <col min="1302" max="1302" width="27.7142857142857" style="85" customWidth="1"/>
    <col min="1303" max="1303" width="10.4285714285714" style="85" customWidth="1"/>
    <col min="1304" max="1304" width="5.42857142857143" style="85" customWidth="1"/>
    <col min="1305" max="1305" width="7.85714285714286" style="85" customWidth="1"/>
    <col min="1306" max="1306" width="5.42857142857143" style="85" customWidth="1"/>
    <col min="1307" max="1307" width="10.4285714285714" style="85" customWidth="1"/>
    <col min="1308" max="1308" width="4" style="85" customWidth="1"/>
    <col min="1309" max="1309" width="10.4285714285714" style="85" customWidth="1"/>
    <col min="1310" max="1310" width="4" style="85" customWidth="1"/>
    <col min="1311" max="1311" width="11.1428571428571" style="85" customWidth="1"/>
    <col min="1312" max="1313" width="4" style="85" customWidth="1"/>
    <col min="1314" max="1314" width="9.14285714285714" style="85"/>
    <col min="1315" max="1323" width="4" style="85" customWidth="1"/>
    <col min="1324" max="1324" width="9.14285714285714" style="85"/>
    <col min="1325" max="1333" width="4" style="85" customWidth="1"/>
    <col min="1334" max="1334" width="9.14285714285714" style="85"/>
    <col min="1335" max="1343" width="4" style="85" customWidth="1"/>
    <col min="1344" max="1344" width="9.14285714285714" style="85"/>
    <col min="1345" max="1353" width="4" style="85" customWidth="1"/>
    <col min="1354" max="1550" width="9.14285714285714" style="85"/>
    <col min="1551" max="1552" width="6.42857142857143" style="85" customWidth="1"/>
    <col min="1553" max="1553" width="4" style="85" customWidth="1"/>
    <col min="1554" max="1554" width="6.42857142857143" style="85" customWidth="1"/>
    <col min="1555" max="1556" width="4" style="85" customWidth="1"/>
    <col min="1557" max="1557" width="8.28571428571429" style="85" customWidth="1"/>
    <col min="1558" max="1558" width="27.7142857142857" style="85" customWidth="1"/>
    <col min="1559" max="1559" width="10.4285714285714" style="85" customWidth="1"/>
    <col min="1560" max="1560" width="5.42857142857143" style="85" customWidth="1"/>
    <col min="1561" max="1561" width="7.85714285714286" style="85" customWidth="1"/>
    <col min="1562" max="1562" width="5.42857142857143" style="85" customWidth="1"/>
    <col min="1563" max="1563" width="10.4285714285714" style="85" customWidth="1"/>
    <col min="1564" max="1564" width="4" style="85" customWidth="1"/>
    <col min="1565" max="1565" width="10.4285714285714" style="85" customWidth="1"/>
    <col min="1566" max="1566" width="4" style="85" customWidth="1"/>
    <col min="1567" max="1567" width="11.1428571428571" style="85" customWidth="1"/>
    <col min="1568" max="1569" width="4" style="85" customWidth="1"/>
    <col min="1570" max="1570" width="9.14285714285714" style="85"/>
    <col min="1571" max="1579" width="4" style="85" customWidth="1"/>
    <col min="1580" max="1580" width="9.14285714285714" style="85"/>
    <col min="1581" max="1589" width="4" style="85" customWidth="1"/>
    <col min="1590" max="1590" width="9.14285714285714" style="85"/>
    <col min="1591" max="1599" width="4" style="85" customWidth="1"/>
    <col min="1600" max="1600" width="9.14285714285714" style="85"/>
    <col min="1601" max="1609" width="4" style="85" customWidth="1"/>
    <col min="1610" max="1806" width="9.14285714285714" style="85"/>
    <col min="1807" max="1808" width="6.42857142857143" style="85" customWidth="1"/>
    <col min="1809" max="1809" width="4" style="85" customWidth="1"/>
    <col min="1810" max="1810" width="6.42857142857143" style="85" customWidth="1"/>
    <col min="1811" max="1812" width="4" style="85" customWidth="1"/>
    <col min="1813" max="1813" width="8.28571428571429" style="85" customWidth="1"/>
    <col min="1814" max="1814" width="27.7142857142857" style="85" customWidth="1"/>
    <col min="1815" max="1815" width="10.4285714285714" style="85" customWidth="1"/>
    <col min="1816" max="1816" width="5.42857142857143" style="85" customWidth="1"/>
    <col min="1817" max="1817" width="7.85714285714286" style="85" customWidth="1"/>
    <col min="1818" max="1818" width="5.42857142857143" style="85" customWidth="1"/>
    <col min="1819" max="1819" width="10.4285714285714" style="85" customWidth="1"/>
    <col min="1820" max="1820" width="4" style="85" customWidth="1"/>
    <col min="1821" max="1821" width="10.4285714285714" style="85" customWidth="1"/>
    <col min="1822" max="1822" width="4" style="85" customWidth="1"/>
    <col min="1823" max="1823" width="11.1428571428571" style="85" customWidth="1"/>
    <col min="1824" max="1825" width="4" style="85" customWidth="1"/>
    <col min="1826" max="1826" width="9.14285714285714" style="85"/>
    <col min="1827" max="1835" width="4" style="85" customWidth="1"/>
    <col min="1836" max="1836" width="9.14285714285714" style="85"/>
    <col min="1837" max="1845" width="4" style="85" customWidth="1"/>
    <col min="1846" max="1846" width="9.14285714285714" style="85"/>
    <col min="1847" max="1855" width="4" style="85" customWidth="1"/>
    <col min="1856" max="1856" width="9.14285714285714" style="85"/>
    <col min="1857" max="1865" width="4" style="85" customWidth="1"/>
    <col min="1866" max="2062" width="9.14285714285714" style="85"/>
    <col min="2063" max="2064" width="6.42857142857143" style="85" customWidth="1"/>
    <col min="2065" max="2065" width="4" style="85" customWidth="1"/>
    <col min="2066" max="2066" width="6.42857142857143" style="85" customWidth="1"/>
    <col min="2067" max="2068" width="4" style="85" customWidth="1"/>
    <col min="2069" max="2069" width="8.28571428571429" style="85" customWidth="1"/>
    <col min="2070" max="2070" width="27.7142857142857" style="85" customWidth="1"/>
    <col min="2071" max="2071" width="10.4285714285714" style="85" customWidth="1"/>
    <col min="2072" max="2072" width="5.42857142857143" style="85" customWidth="1"/>
    <col min="2073" max="2073" width="7.85714285714286" style="85" customWidth="1"/>
    <col min="2074" max="2074" width="5.42857142857143" style="85" customWidth="1"/>
    <col min="2075" max="2075" width="10.4285714285714" style="85" customWidth="1"/>
    <col min="2076" max="2076" width="4" style="85" customWidth="1"/>
    <col min="2077" max="2077" width="10.4285714285714" style="85" customWidth="1"/>
    <col min="2078" max="2078" width="4" style="85" customWidth="1"/>
    <col min="2079" max="2079" width="11.1428571428571" style="85" customWidth="1"/>
    <col min="2080" max="2081" width="4" style="85" customWidth="1"/>
    <col min="2082" max="2082" width="9.14285714285714" style="85"/>
    <col min="2083" max="2091" width="4" style="85" customWidth="1"/>
    <col min="2092" max="2092" width="9.14285714285714" style="85"/>
    <col min="2093" max="2101" width="4" style="85" customWidth="1"/>
    <col min="2102" max="2102" width="9.14285714285714" style="85"/>
    <col min="2103" max="2111" width="4" style="85" customWidth="1"/>
    <col min="2112" max="2112" width="9.14285714285714" style="85"/>
    <col min="2113" max="2121" width="4" style="85" customWidth="1"/>
    <col min="2122" max="2318" width="9.14285714285714" style="85"/>
    <col min="2319" max="2320" width="6.42857142857143" style="85" customWidth="1"/>
    <col min="2321" max="2321" width="4" style="85" customWidth="1"/>
    <col min="2322" max="2322" width="6.42857142857143" style="85" customWidth="1"/>
    <col min="2323" max="2324" width="4" style="85" customWidth="1"/>
    <col min="2325" max="2325" width="8.28571428571429" style="85" customWidth="1"/>
    <col min="2326" max="2326" width="27.7142857142857" style="85" customWidth="1"/>
    <col min="2327" max="2327" width="10.4285714285714" style="85" customWidth="1"/>
    <col min="2328" max="2328" width="5.42857142857143" style="85" customWidth="1"/>
    <col min="2329" max="2329" width="7.85714285714286" style="85" customWidth="1"/>
    <col min="2330" max="2330" width="5.42857142857143" style="85" customWidth="1"/>
    <col min="2331" max="2331" width="10.4285714285714" style="85" customWidth="1"/>
    <col min="2332" max="2332" width="4" style="85" customWidth="1"/>
    <col min="2333" max="2333" width="10.4285714285714" style="85" customWidth="1"/>
    <col min="2334" max="2334" width="4" style="85" customWidth="1"/>
    <col min="2335" max="2335" width="11.1428571428571" style="85" customWidth="1"/>
    <col min="2336" max="2337" width="4" style="85" customWidth="1"/>
    <col min="2338" max="2338" width="9.14285714285714" style="85"/>
    <col min="2339" max="2347" width="4" style="85" customWidth="1"/>
    <col min="2348" max="2348" width="9.14285714285714" style="85"/>
    <col min="2349" max="2357" width="4" style="85" customWidth="1"/>
    <col min="2358" max="2358" width="9.14285714285714" style="85"/>
    <col min="2359" max="2367" width="4" style="85" customWidth="1"/>
    <col min="2368" max="2368" width="9.14285714285714" style="85"/>
    <col min="2369" max="2377" width="4" style="85" customWidth="1"/>
    <col min="2378" max="2574" width="9.14285714285714" style="85"/>
    <col min="2575" max="2576" width="6.42857142857143" style="85" customWidth="1"/>
    <col min="2577" max="2577" width="4" style="85" customWidth="1"/>
    <col min="2578" max="2578" width="6.42857142857143" style="85" customWidth="1"/>
    <col min="2579" max="2580" width="4" style="85" customWidth="1"/>
    <col min="2581" max="2581" width="8.28571428571429" style="85" customWidth="1"/>
    <col min="2582" max="2582" width="27.7142857142857" style="85" customWidth="1"/>
    <col min="2583" max="2583" width="10.4285714285714" style="85" customWidth="1"/>
    <col min="2584" max="2584" width="5.42857142857143" style="85" customWidth="1"/>
    <col min="2585" max="2585" width="7.85714285714286" style="85" customWidth="1"/>
    <col min="2586" max="2586" width="5.42857142857143" style="85" customWidth="1"/>
    <col min="2587" max="2587" width="10.4285714285714" style="85" customWidth="1"/>
    <col min="2588" max="2588" width="4" style="85" customWidth="1"/>
    <col min="2589" max="2589" width="10.4285714285714" style="85" customWidth="1"/>
    <col min="2590" max="2590" width="4" style="85" customWidth="1"/>
    <col min="2591" max="2591" width="11.1428571428571" style="85" customWidth="1"/>
    <col min="2592" max="2593" width="4" style="85" customWidth="1"/>
    <col min="2594" max="2594" width="9.14285714285714" style="85"/>
    <col min="2595" max="2603" width="4" style="85" customWidth="1"/>
    <col min="2604" max="2604" width="9.14285714285714" style="85"/>
    <col min="2605" max="2613" width="4" style="85" customWidth="1"/>
    <col min="2614" max="2614" width="9.14285714285714" style="85"/>
    <col min="2615" max="2623" width="4" style="85" customWidth="1"/>
    <col min="2624" max="2624" width="9.14285714285714" style="85"/>
    <col min="2625" max="2633" width="4" style="85" customWidth="1"/>
    <col min="2634" max="2830" width="9.14285714285714" style="85"/>
    <col min="2831" max="2832" width="6.42857142857143" style="85" customWidth="1"/>
    <col min="2833" max="2833" width="4" style="85" customWidth="1"/>
    <col min="2834" max="2834" width="6.42857142857143" style="85" customWidth="1"/>
    <col min="2835" max="2836" width="4" style="85" customWidth="1"/>
    <col min="2837" max="2837" width="8.28571428571429" style="85" customWidth="1"/>
    <col min="2838" max="2838" width="27.7142857142857" style="85" customWidth="1"/>
    <col min="2839" max="2839" width="10.4285714285714" style="85" customWidth="1"/>
    <col min="2840" max="2840" width="5.42857142857143" style="85" customWidth="1"/>
    <col min="2841" max="2841" width="7.85714285714286" style="85" customWidth="1"/>
    <col min="2842" max="2842" width="5.42857142857143" style="85" customWidth="1"/>
    <col min="2843" max="2843" width="10.4285714285714" style="85" customWidth="1"/>
    <col min="2844" max="2844" width="4" style="85" customWidth="1"/>
    <col min="2845" max="2845" width="10.4285714285714" style="85" customWidth="1"/>
    <col min="2846" max="2846" width="4" style="85" customWidth="1"/>
    <col min="2847" max="2847" width="11.1428571428571" style="85" customWidth="1"/>
    <col min="2848" max="2849" width="4" style="85" customWidth="1"/>
    <col min="2850" max="2850" width="9.14285714285714" style="85"/>
    <col min="2851" max="2859" width="4" style="85" customWidth="1"/>
    <col min="2860" max="2860" width="9.14285714285714" style="85"/>
    <col min="2861" max="2869" width="4" style="85" customWidth="1"/>
    <col min="2870" max="2870" width="9.14285714285714" style="85"/>
    <col min="2871" max="2879" width="4" style="85" customWidth="1"/>
    <col min="2880" max="2880" width="9.14285714285714" style="85"/>
    <col min="2881" max="2889" width="4" style="85" customWidth="1"/>
    <col min="2890" max="3086" width="9.14285714285714" style="85"/>
    <col min="3087" max="3088" width="6.42857142857143" style="85" customWidth="1"/>
    <col min="3089" max="3089" width="4" style="85" customWidth="1"/>
    <col min="3090" max="3090" width="6.42857142857143" style="85" customWidth="1"/>
    <col min="3091" max="3092" width="4" style="85" customWidth="1"/>
    <col min="3093" max="3093" width="8.28571428571429" style="85" customWidth="1"/>
    <col min="3094" max="3094" width="27.7142857142857" style="85" customWidth="1"/>
    <col min="3095" max="3095" width="10.4285714285714" style="85" customWidth="1"/>
    <col min="3096" max="3096" width="5.42857142857143" style="85" customWidth="1"/>
    <col min="3097" max="3097" width="7.85714285714286" style="85" customWidth="1"/>
    <col min="3098" max="3098" width="5.42857142857143" style="85" customWidth="1"/>
    <col min="3099" max="3099" width="10.4285714285714" style="85" customWidth="1"/>
    <col min="3100" max="3100" width="4" style="85" customWidth="1"/>
    <col min="3101" max="3101" width="10.4285714285714" style="85" customWidth="1"/>
    <col min="3102" max="3102" width="4" style="85" customWidth="1"/>
    <col min="3103" max="3103" width="11.1428571428571" style="85" customWidth="1"/>
    <col min="3104" max="3105" width="4" style="85" customWidth="1"/>
    <col min="3106" max="3106" width="9.14285714285714" style="85"/>
    <col min="3107" max="3115" width="4" style="85" customWidth="1"/>
    <col min="3116" max="3116" width="9.14285714285714" style="85"/>
    <col min="3117" max="3125" width="4" style="85" customWidth="1"/>
    <col min="3126" max="3126" width="9.14285714285714" style="85"/>
    <col min="3127" max="3135" width="4" style="85" customWidth="1"/>
    <col min="3136" max="3136" width="9.14285714285714" style="85"/>
    <col min="3137" max="3145" width="4" style="85" customWidth="1"/>
    <col min="3146" max="3342" width="9.14285714285714" style="85"/>
    <col min="3343" max="3344" width="6.42857142857143" style="85" customWidth="1"/>
    <col min="3345" max="3345" width="4" style="85" customWidth="1"/>
    <col min="3346" max="3346" width="6.42857142857143" style="85" customWidth="1"/>
    <col min="3347" max="3348" width="4" style="85" customWidth="1"/>
    <col min="3349" max="3349" width="8.28571428571429" style="85" customWidth="1"/>
    <col min="3350" max="3350" width="27.7142857142857" style="85" customWidth="1"/>
    <col min="3351" max="3351" width="10.4285714285714" style="85" customWidth="1"/>
    <col min="3352" max="3352" width="5.42857142857143" style="85" customWidth="1"/>
    <col min="3353" max="3353" width="7.85714285714286" style="85" customWidth="1"/>
    <col min="3354" max="3354" width="5.42857142857143" style="85" customWidth="1"/>
    <col min="3355" max="3355" width="10.4285714285714" style="85" customWidth="1"/>
    <col min="3356" max="3356" width="4" style="85" customWidth="1"/>
    <col min="3357" max="3357" width="10.4285714285714" style="85" customWidth="1"/>
    <col min="3358" max="3358" width="4" style="85" customWidth="1"/>
    <col min="3359" max="3359" width="11.1428571428571" style="85" customWidth="1"/>
    <col min="3360" max="3361" width="4" style="85" customWidth="1"/>
    <col min="3362" max="3362" width="9.14285714285714" style="85"/>
    <col min="3363" max="3371" width="4" style="85" customWidth="1"/>
    <col min="3372" max="3372" width="9.14285714285714" style="85"/>
    <col min="3373" max="3381" width="4" style="85" customWidth="1"/>
    <col min="3382" max="3382" width="9.14285714285714" style="85"/>
    <col min="3383" max="3391" width="4" style="85" customWidth="1"/>
    <col min="3392" max="3392" width="9.14285714285714" style="85"/>
    <col min="3393" max="3401" width="4" style="85" customWidth="1"/>
    <col min="3402" max="3598" width="9.14285714285714" style="85"/>
    <col min="3599" max="3600" width="6.42857142857143" style="85" customWidth="1"/>
    <col min="3601" max="3601" width="4" style="85" customWidth="1"/>
    <col min="3602" max="3602" width="6.42857142857143" style="85" customWidth="1"/>
    <col min="3603" max="3604" width="4" style="85" customWidth="1"/>
    <col min="3605" max="3605" width="8.28571428571429" style="85" customWidth="1"/>
    <col min="3606" max="3606" width="27.7142857142857" style="85" customWidth="1"/>
    <col min="3607" max="3607" width="10.4285714285714" style="85" customWidth="1"/>
    <col min="3608" max="3608" width="5.42857142857143" style="85" customWidth="1"/>
    <col min="3609" max="3609" width="7.85714285714286" style="85" customWidth="1"/>
    <col min="3610" max="3610" width="5.42857142857143" style="85" customWidth="1"/>
    <col min="3611" max="3611" width="10.4285714285714" style="85" customWidth="1"/>
    <col min="3612" max="3612" width="4" style="85" customWidth="1"/>
    <col min="3613" max="3613" width="10.4285714285714" style="85" customWidth="1"/>
    <col min="3614" max="3614" width="4" style="85" customWidth="1"/>
    <col min="3615" max="3615" width="11.1428571428571" style="85" customWidth="1"/>
    <col min="3616" max="3617" width="4" style="85" customWidth="1"/>
    <col min="3618" max="3618" width="9.14285714285714" style="85"/>
    <col min="3619" max="3627" width="4" style="85" customWidth="1"/>
    <col min="3628" max="3628" width="9.14285714285714" style="85"/>
    <col min="3629" max="3637" width="4" style="85" customWidth="1"/>
    <col min="3638" max="3638" width="9.14285714285714" style="85"/>
    <col min="3639" max="3647" width="4" style="85" customWidth="1"/>
    <col min="3648" max="3648" width="9.14285714285714" style="85"/>
    <col min="3649" max="3657" width="4" style="85" customWidth="1"/>
    <col min="3658" max="3854" width="9.14285714285714" style="85"/>
    <col min="3855" max="3856" width="6.42857142857143" style="85" customWidth="1"/>
    <col min="3857" max="3857" width="4" style="85" customWidth="1"/>
    <col min="3858" max="3858" width="6.42857142857143" style="85" customWidth="1"/>
    <col min="3859" max="3860" width="4" style="85" customWidth="1"/>
    <col min="3861" max="3861" width="8.28571428571429" style="85" customWidth="1"/>
    <col min="3862" max="3862" width="27.7142857142857" style="85" customWidth="1"/>
    <col min="3863" max="3863" width="10.4285714285714" style="85" customWidth="1"/>
    <col min="3864" max="3864" width="5.42857142857143" style="85" customWidth="1"/>
    <col min="3865" max="3865" width="7.85714285714286" style="85" customWidth="1"/>
    <col min="3866" max="3866" width="5.42857142857143" style="85" customWidth="1"/>
    <col min="3867" max="3867" width="10.4285714285714" style="85" customWidth="1"/>
    <col min="3868" max="3868" width="4" style="85" customWidth="1"/>
    <col min="3869" max="3869" width="10.4285714285714" style="85" customWidth="1"/>
    <col min="3870" max="3870" width="4" style="85" customWidth="1"/>
    <col min="3871" max="3871" width="11.1428571428571" style="85" customWidth="1"/>
    <col min="3872" max="3873" width="4" style="85" customWidth="1"/>
    <col min="3874" max="3874" width="9.14285714285714" style="85"/>
    <col min="3875" max="3883" width="4" style="85" customWidth="1"/>
    <col min="3884" max="3884" width="9.14285714285714" style="85"/>
    <col min="3885" max="3893" width="4" style="85" customWidth="1"/>
    <col min="3894" max="3894" width="9.14285714285714" style="85"/>
    <col min="3895" max="3903" width="4" style="85" customWidth="1"/>
    <col min="3904" max="3904" width="9.14285714285714" style="85"/>
    <col min="3905" max="3913" width="4" style="85" customWidth="1"/>
    <col min="3914" max="4110" width="9.14285714285714" style="85"/>
    <col min="4111" max="4112" width="6.42857142857143" style="85" customWidth="1"/>
    <col min="4113" max="4113" width="4" style="85" customWidth="1"/>
    <col min="4114" max="4114" width="6.42857142857143" style="85" customWidth="1"/>
    <col min="4115" max="4116" width="4" style="85" customWidth="1"/>
    <col min="4117" max="4117" width="8.28571428571429" style="85" customWidth="1"/>
    <col min="4118" max="4118" width="27.7142857142857" style="85" customWidth="1"/>
    <col min="4119" max="4119" width="10.4285714285714" style="85" customWidth="1"/>
    <col min="4120" max="4120" width="5.42857142857143" style="85" customWidth="1"/>
    <col min="4121" max="4121" width="7.85714285714286" style="85" customWidth="1"/>
    <col min="4122" max="4122" width="5.42857142857143" style="85" customWidth="1"/>
    <col min="4123" max="4123" width="10.4285714285714" style="85" customWidth="1"/>
    <col min="4124" max="4124" width="4" style="85" customWidth="1"/>
    <col min="4125" max="4125" width="10.4285714285714" style="85" customWidth="1"/>
    <col min="4126" max="4126" width="4" style="85" customWidth="1"/>
    <col min="4127" max="4127" width="11.1428571428571" style="85" customWidth="1"/>
    <col min="4128" max="4129" width="4" style="85" customWidth="1"/>
    <col min="4130" max="4130" width="9.14285714285714" style="85"/>
    <col min="4131" max="4139" width="4" style="85" customWidth="1"/>
    <col min="4140" max="4140" width="9.14285714285714" style="85"/>
    <col min="4141" max="4149" width="4" style="85" customWidth="1"/>
    <col min="4150" max="4150" width="9.14285714285714" style="85"/>
    <col min="4151" max="4159" width="4" style="85" customWidth="1"/>
    <col min="4160" max="4160" width="9.14285714285714" style="85"/>
    <col min="4161" max="4169" width="4" style="85" customWidth="1"/>
    <col min="4170" max="4366" width="9.14285714285714" style="85"/>
    <col min="4367" max="4368" width="6.42857142857143" style="85" customWidth="1"/>
    <col min="4369" max="4369" width="4" style="85" customWidth="1"/>
    <col min="4370" max="4370" width="6.42857142857143" style="85" customWidth="1"/>
    <col min="4371" max="4372" width="4" style="85" customWidth="1"/>
    <col min="4373" max="4373" width="8.28571428571429" style="85" customWidth="1"/>
    <col min="4374" max="4374" width="27.7142857142857" style="85" customWidth="1"/>
    <col min="4375" max="4375" width="10.4285714285714" style="85" customWidth="1"/>
    <col min="4376" max="4376" width="5.42857142857143" style="85" customWidth="1"/>
    <col min="4377" max="4377" width="7.85714285714286" style="85" customWidth="1"/>
    <col min="4378" max="4378" width="5.42857142857143" style="85" customWidth="1"/>
    <col min="4379" max="4379" width="10.4285714285714" style="85" customWidth="1"/>
    <col min="4380" max="4380" width="4" style="85" customWidth="1"/>
    <col min="4381" max="4381" width="10.4285714285714" style="85" customWidth="1"/>
    <col min="4382" max="4382" width="4" style="85" customWidth="1"/>
    <col min="4383" max="4383" width="11.1428571428571" style="85" customWidth="1"/>
    <col min="4384" max="4385" width="4" style="85" customWidth="1"/>
    <col min="4386" max="4386" width="9.14285714285714" style="85"/>
    <col min="4387" max="4395" width="4" style="85" customWidth="1"/>
    <col min="4396" max="4396" width="9.14285714285714" style="85"/>
    <col min="4397" max="4405" width="4" style="85" customWidth="1"/>
    <col min="4406" max="4406" width="9.14285714285714" style="85"/>
    <col min="4407" max="4415" width="4" style="85" customWidth="1"/>
    <col min="4416" max="4416" width="9.14285714285714" style="85"/>
    <col min="4417" max="4425" width="4" style="85" customWidth="1"/>
    <col min="4426" max="4622" width="9.14285714285714" style="85"/>
    <col min="4623" max="4624" width="6.42857142857143" style="85" customWidth="1"/>
    <col min="4625" max="4625" width="4" style="85" customWidth="1"/>
    <col min="4626" max="4626" width="6.42857142857143" style="85" customWidth="1"/>
    <col min="4627" max="4628" width="4" style="85" customWidth="1"/>
    <col min="4629" max="4629" width="8.28571428571429" style="85" customWidth="1"/>
    <col min="4630" max="4630" width="27.7142857142857" style="85" customWidth="1"/>
    <col min="4631" max="4631" width="10.4285714285714" style="85" customWidth="1"/>
    <col min="4632" max="4632" width="5.42857142857143" style="85" customWidth="1"/>
    <col min="4633" max="4633" width="7.85714285714286" style="85" customWidth="1"/>
    <col min="4634" max="4634" width="5.42857142857143" style="85" customWidth="1"/>
    <col min="4635" max="4635" width="10.4285714285714" style="85" customWidth="1"/>
    <col min="4636" max="4636" width="4" style="85" customWidth="1"/>
    <col min="4637" max="4637" width="10.4285714285714" style="85" customWidth="1"/>
    <col min="4638" max="4638" width="4" style="85" customWidth="1"/>
    <col min="4639" max="4639" width="11.1428571428571" style="85" customWidth="1"/>
    <col min="4640" max="4641" width="4" style="85" customWidth="1"/>
    <col min="4642" max="4642" width="9.14285714285714" style="85"/>
    <col min="4643" max="4651" width="4" style="85" customWidth="1"/>
    <col min="4652" max="4652" width="9.14285714285714" style="85"/>
    <col min="4653" max="4661" width="4" style="85" customWidth="1"/>
    <col min="4662" max="4662" width="9.14285714285714" style="85"/>
    <col min="4663" max="4671" width="4" style="85" customWidth="1"/>
    <col min="4672" max="4672" width="9.14285714285714" style="85"/>
    <col min="4673" max="4681" width="4" style="85" customWidth="1"/>
    <col min="4682" max="4878" width="9.14285714285714" style="85"/>
    <col min="4879" max="4880" width="6.42857142857143" style="85" customWidth="1"/>
    <col min="4881" max="4881" width="4" style="85" customWidth="1"/>
    <col min="4882" max="4882" width="6.42857142857143" style="85" customWidth="1"/>
    <col min="4883" max="4884" width="4" style="85" customWidth="1"/>
    <col min="4885" max="4885" width="8.28571428571429" style="85" customWidth="1"/>
    <col min="4886" max="4886" width="27.7142857142857" style="85" customWidth="1"/>
    <col min="4887" max="4887" width="10.4285714285714" style="85" customWidth="1"/>
    <col min="4888" max="4888" width="5.42857142857143" style="85" customWidth="1"/>
    <col min="4889" max="4889" width="7.85714285714286" style="85" customWidth="1"/>
    <col min="4890" max="4890" width="5.42857142857143" style="85" customWidth="1"/>
    <col min="4891" max="4891" width="10.4285714285714" style="85" customWidth="1"/>
    <col min="4892" max="4892" width="4" style="85" customWidth="1"/>
    <col min="4893" max="4893" width="10.4285714285714" style="85" customWidth="1"/>
    <col min="4894" max="4894" width="4" style="85" customWidth="1"/>
    <col min="4895" max="4895" width="11.1428571428571" style="85" customWidth="1"/>
    <col min="4896" max="4897" width="4" style="85" customWidth="1"/>
    <col min="4898" max="4898" width="9.14285714285714" style="85"/>
    <col min="4899" max="4907" width="4" style="85" customWidth="1"/>
    <col min="4908" max="4908" width="9.14285714285714" style="85"/>
    <col min="4909" max="4917" width="4" style="85" customWidth="1"/>
    <col min="4918" max="4918" width="9.14285714285714" style="85"/>
    <col min="4919" max="4927" width="4" style="85" customWidth="1"/>
    <col min="4928" max="4928" width="9.14285714285714" style="85"/>
    <col min="4929" max="4937" width="4" style="85" customWidth="1"/>
    <col min="4938" max="5134" width="9.14285714285714" style="85"/>
    <col min="5135" max="5136" width="6.42857142857143" style="85" customWidth="1"/>
    <col min="5137" max="5137" width="4" style="85" customWidth="1"/>
    <col min="5138" max="5138" width="6.42857142857143" style="85" customWidth="1"/>
    <col min="5139" max="5140" width="4" style="85" customWidth="1"/>
    <col min="5141" max="5141" width="8.28571428571429" style="85" customWidth="1"/>
    <col min="5142" max="5142" width="27.7142857142857" style="85" customWidth="1"/>
    <col min="5143" max="5143" width="10.4285714285714" style="85" customWidth="1"/>
    <col min="5144" max="5144" width="5.42857142857143" style="85" customWidth="1"/>
    <col min="5145" max="5145" width="7.85714285714286" style="85" customWidth="1"/>
    <col min="5146" max="5146" width="5.42857142857143" style="85" customWidth="1"/>
    <col min="5147" max="5147" width="10.4285714285714" style="85" customWidth="1"/>
    <col min="5148" max="5148" width="4" style="85" customWidth="1"/>
    <col min="5149" max="5149" width="10.4285714285714" style="85" customWidth="1"/>
    <col min="5150" max="5150" width="4" style="85" customWidth="1"/>
    <col min="5151" max="5151" width="11.1428571428571" style="85" customWidth="1"/>
    <col min="5152" max="5153" width="4" style="85" customWidth="1"/>
    <col min="5154" max="5154" width="9.14285714285714" style="85"/>
    <col min="5155" max="5163" width="4" style="85" customWidth="1"/>
    <col min="5164" max="5164" width="9.14285714285714" style="85"/>
    <col min="5165" max="5173" width="4" style="85" customWidth="1"/>
    <col min="5174" max="5174" width="9.14285714285714" style="85"/>
    <col min="5175" max="5183" width="4" style="85" customWidth="1"/>
    <col min="5184" max="5184" width="9.14285714285714" style="85"/>
    <col min="5185" max="5193" width="4" style="85" customWidth="1"/>
    <col min="5194" max="5390" width="9.14285714285714" style="85"/>
    <col min="5391" max="5392" width="6.42857142857143" style="85" customWidth="1"/>
    <col min="5393" max="5393" width="4" style="85" customWidth="1"/>
    <col min="5394" max="5394" width="6.42857142857143" style="85" customWidth="1"/>
    <col min="5395" max="5396" width="4" style="85" customWidth="1"/>
    <col min="5397" max="5397" width="8.28571428571429" style="85" customWidth="1"/>
    <col min="5398" max="5398" width="27.7142857142857" style="85" customWidth="1"/>
    <col min="5399" max="5399" width="10.4285714285714" style="85" customWidth="1"/>
    <col min="5400" max="5400" width="5.42857142857143" style="85" customWidth="1"/>
    <col min="5401" max="5401" width="7.85714285714286" style="85" customWidth="1"/>
    <col min="5402" max="5402" width="5.42857142857143" style="85" customWidth="1"/>
    <col min="5403" max="5403" width="10.4285714285714" style="85" customWidth="1"/>
    <col min="5404" max="5404" width="4" style="85" customWidth="1"/>
    <col min="5405" max="5405" width="10.4285714285714" style="85" customWidth="1"/>
    <col min="5406" max="5406" width="4" style="85" customWidth="1"/>
    <col min="5407" max="5407" width="11.1428571428571" style="85" customWidth="1"/>
    <col min="5408" max="5409" width="4" style="85" customWidth="1"/>
    <col min="5410" max="5410" width="9.14285714285714" style="85"/>
    <col min="5411" max="5419" width="4" style="85" customWidth="1"/>
    <col min="5420" max="5420" width="9.14285714285714" style="85"/>
    <col min="5421" max="5429" width="4" style="85" customWidth="1"/>
    <col min="5430" max="5430" width="9.14285714285714" style="85"/>
    <col min="5431" max="5439" width="4" style="85" customWidth="1"/>
    <col min="5440" max="5440" width="9.14285714285714" style="85"/>
    <col min="5441" max="5449" width="4" style="85" customWidth="1"/>
    <col min="5450" max="5646" width="9.14285714285714" style="85"/>
    <col min="5647" max="5648" width="6.42857142857143" style="85" customWidth="1"/>
    <col min="5649" max="5649" width="4" style="85" customWidth="1"/>
    <col min="5650" max="5650" width="6.42857142857143" style="85" customWidth="1"/>
    <col min="5651" max="5652" width="4" style="85" customWidth="1"/>
    <col min="5653" max="5653" width="8.28571428571429" style="85" customWidth="1"/>
    <col min="5654" max="5654" width="27.7142857142857" style="85" customWidth="1"/>
    <col min="5655" max="5655" width="10.4285714285714" style="85" customWidth="1"/>
    <col min="5656" max="5656" width="5.42857142857143" style="85" customWidth="1"/>
    <col min="5657" max="5657" width="7.85714285714286" style="85" customWidth="1"/>
    <col min="5658" max="5658" width="5.42857142857143" style="85" customWidth="1"/>
    <col min="5659" max="5659" width="10.4285714285714" style="85" customWidth="1"/>
    <col min="5660" max="5660" width="4" style="85" customWidth="1"/>
    <col min="5661" max="5661" width="10.4285714285714" style="85" customWidth="1"/>
    <col min="5662" max="5662" width="4" style="85" customWidth="1"/>
    <col min="5663" max="5663" width="11.1428571428571" style="85" customWidth="1"/>
    <col min="5664" max="5665" width="4" style="85" customWidth="1"/>
    <col min="5666" max="5666" width="9.14285714285714" style="85"/>
    <col min="5667" max="5675" width="4" style="85" customWidth="1"/>
    <col min="5676" max="5676" width="9.14285714285714" style="85"/>
    <col min="5677" max="5685" width="4" style="85" customWidth="1"/>
    <col min="5686" max="5686" width="9.14285714285714" style="85"/>
    <col min="5687" max="5695" width="4" style="85" customWidth="1"/>
    <col min="5696" max="5696" width="9.14285714285714" style="85"/>
    <col min="5697" max="5705" width="4" style="85" customWidth="1"/>
    <col min="5706" max="5902" width="9.14285714285714" style="85"/>
    <col min="5903" max="5904" width="6.42857142857143" style="85" customWidth="1"/>
    <col min="5905" max="5905" width="4" style="85" customWidth="1"/>
    <col min="5906" max="5906" width="6.42857142857143" style="85" customWidth="1"/>
    <col min="5907" max="5908" width="4" style="85" customWidth="1"/>
    <col min="5909" max="5909" width="8.28571428571429" style="85" customWidth="1"/>
    <col min="5910" max="5910" width="27.7142857142857" style="85" customWidth="1"/>
    <col min="5911" max="5911" width="10.4285714285714" style="85" customWidth="1"/>
    <col min="5912" max="5912" width="5.42857142857143" style="85" customWidth="1"/>
    <col min="5913" max="5913" width="7.85714285714286" style="85" customWidth="1"/>
    <col min="5914" max="5914" width="5.42857142857143" style="85" customWidth="1"/>
    <col min="5915" max="5915" width="10.4285714285714" style="85" customWidth="1"/>
    <col min="5916" max="5916" width="4" style="85" customWidth="1"/>
    <col min="5917" max="5917" width="10.4285714285714" style="85" customWidth="1"/>
    <col min="5918" max="5918" width="4" style="85" customWidth="1"/>
    <col min="5919" max="5919" width="11.1428571428571" style="85" customWidth="1"/>
    <col min="5920" max="5921" width="4" style="85" customWidth="1"/>
    <col min="5922" max="5922" width="9.14285714285714" style="85"/>
    <col min="5923" max="5931" width="4" style="85" customWidth="1"/>
    <col min="5932" max="5932" width="9.14285714285714" style="85"/>
    <col min="5933" max="5941" width="4" style="85" customWidth="1"/>
    <col min="5942" max="5942" width="9.14285714285714" style="85"/>
    <col min="5943" max="5951" width="4" style="85" customWidth="1"/>
    <col min="5952" max="5952" width="9.14285714285714" style="85"/>
    <col min="5953" max="5961" width="4" style="85" customWidth="1"/>
    <col min="5962" max="6158" width="9.14285714285714" style="85"/>
    <col min="6159" max="6160" width="6.42857142857143" style="85" customWidth="1"/>
    <col min="6161" max="6161" width="4" style="85" customWidth="1"/>
    <col min="6162" max="6162" width="6.42857142857143" style="85" customWidth="1"/>
    <col min="6163" max="6164" width="4" style="85" customWidth="1"/>
    <col min="6165" max="6165" width="8.28571428571429" style="85" customWidth="1"/>
    <col min="6166" max="6166" width="27.7142857142857" style="85" customWidth="1"/>
    <col min="6167" max="6167" width="10.4285714285714" style="85" customWidth="1"/>
    <col min="6168" max="6168" width="5.42857142857143" style="85" customWidth="1"/>
    <col min="6169" max="6169" width="7.85714285714286" style="85" customWidth="1"/>
    <col min="6170" max="6170" width="5.42857142857143" style="85" customWidth="1"/>
    <col min="6171" max="6171" width="10.4285714285714" style="85" customWidth="1"/>
    <col min="6172" max="6172" width="4" style="85" customWidth="1"/>
    <col min="6173" max="6173" width="10.4285714285714" style="85" customWidth="1"/>
    <col min="6174" max="6174" width="4" style="85" customWidth="1"/>
    <col min="6175" max="6175" width="11.1428571428571" style="85" customWidth="1"/>
    <col min="6176" max="6177" width="4" style="85" customWidth="1"/>
    <col min="6178" max="6178" width="9.14285714285714" style="85"/>
    <col min="6179" max="6187" width="4" style="85" customWidth="1"/>
    <col min="6188" max="6188" width="9.14285714285714" style="85"/>
    <col min="6189" max="6197" width="4" style="85" customWidth="1"/>
    <col min="6198" max="6198" width="9.14285714285714" style="85"/>
    <col min="6199" max="6207" width="4" style="85" customWidth="1"/>
    <col min="6208" max="6208" width="9.14285714285714" style="85"/>
    <col min="6209" max="6217" width="4" style="85" customWidth="1"/>
    <col min="6218" max="6414" width="9.14285714285714" style="85"/>
    <col min="6415" max="6416" width="6.42857142857143" style="85" customWidth="1"/>
    <col min="6417" max="6417" width="4" style="85" customWidth="1"/>
    <col min="6418" max="6418" width="6.42857142857143" style="85" customWidth="1"/>
    <col min="6419" max="6420" width="4" style="85" customWidth="1"/>
    <col min="6421" max="6421" width="8.28571428571429" style="85" customWidth="1"/>
    <col min="6422" max="6422" width="27.7142857142857" style="85" customWidth="1"/>
    <col min="6423" max="6423" width="10.4285714285714" style="85" customWidth="1"/>
    <col min="6424" max="6424" width="5.42857142857143" style="85" customWidth="1"/>
    <col min="6425" max="6425" width="7.85714285714286" style="85" customWidth="1"/>
    <col min="6426" max="6426" width="5.42857142857143" style="85" customWidth="1"/>
    <col min="6427" max="6427" width="10.4285714285714" style="85" customWidth="1"/>
    <col min="6428" max="6428" width="4" style="85" customWidth="1"/>
    <col min="6429" max="6429" width="10.4285714285714" style="85" customWidth="1"/>
    <col min="6430" max="6430" width="4" style="85" customWidth="1"/>
    <col min="6431" max="6431" width="11.1428571428571" style="85" customWidth="1"/>
    <col min="6432" max="6433" width="4" style="85" customWidth="1"/>
    <col min="6434" max="6434" width="9.14285714285714" style="85"/>
    <col min="6435" max="6443" width="4" style="85" customWidth="1"/>
    <col min="6444" max="6444" width="9.14285714285714" style="85"/>
    <col min="6445" max="6453" width="4" style="85" customWidth="1"/>
    <col min="6454" max="6454" width="9.14285714285714" style="85"/>
    <col min="6455" max="6463" width="4" style="85" customWidth="1"/>
    <col min="6464" max="6464" width="9.14285714285714" style="85"/>
    <col min="6465" max="6473" width="4" style="85" customWidth="1"/>
    <col min="6474" max="6670" width="9.14285714285714" style="85"/>
    <col min="6671" max="6672" width="6.42857142857143" style="85" customWidth="1"/>
    <col min="6673" max="6673" width="4" style="85" customWidth="1"/>
    <col min="6674" max="6674" width="6.42857142857143" style="85" customWidth="1"/>
    <col min="6675" max="6676" width="4" style="85" customWidth="1"/>
    <col min="6677" max="6677" width="8.28571428571429" style="85" customWidth="1"/>
    <col min="6678" max="6678" width="27.7142857142857" style="85" customWidth="1"/>
    <col min="6679" max="6679" width="10.4285714285714" style="85" customWidth="1"/>
    <col min="6680" max="6680" width="5.42857142857143" style="85" customWidth="1"/>
    <col min="6681" max="6681" width="7.85714285714286" style="85" customWidth="1"/>
    <col min="6682" max="6682" width="5.42857142857143" style="85" customWidth="1"/>
    <col min="6683" max="6683" width="10.4285714285714" style="85" customWidth="1"/>
    <col min="6684" max="6684" width="4" style="85" customWidth="1"/>
    <col min="6685" max="6685" width="10.4285714285714" style="85" customWidth="1"/>
    <col min="6686" max="6686" width="4" style="85" customWidth="1"/>
    <col min="6687" max="6687" width="11.1428571428571" style="85" customWidth="1"/>
    <col min="6688" max="6689" width="4" style="85" customWidth="1"/>
    <col min="6690" max="6690" width="9.14285714285714" style="85"/>
    <col min="6691" max="6699" width="4" style="85" customWidth="1"/>
    <col min="6700" max="6700" width="9.14285714285714" style="85"/>
    <col min="6701" max="6709" width="4" style="85" customWidth="1"/>
    <col min="6710" max="6710" width="9.14285714285714" style="85"/>
    <col min="6711" max="6719" width="4" style="85" customWidth="1"/>
    <col min="6720" max="6720" width="9.14285714285714" style="85"/>
    <col min="6721" max="6729" width="4" style="85" customWidth="1"/>
    <col min="6730" max="6926" width="9.14285714285714" style="85"/>
    <col min="6927" max="6928" width="6.42857142857143" style="85" customWidth="1"/>
    <col min="6929" max="6929" width="4" style="85" customWidth="1"/>
    <col min="6930" max="6930" width="6.42857142857143" style="85" customWidth="1"/>
    <col min="6931" max="6932" width="4" style="85" customWidth="1"/>
    <col min="6933" max="6933" width="8.28571428571429" style="85" customWidth="1"/>
    <col min="6934" max="6934" width="27.7142857142857" style="85" customWidth="1"/>
    <col min="6935" max="6935" width="10.4285714285714" style="85" customWidth="1"/>
    <col min="6936" max="6936" width="5.42857142857143" style="85" customWidth="1"/>
    <col min="6937" max="6937" width="7.85714285714286" style="85" customWidth="1"/>
    <col min="6938" max="6938" width="5.42857142857143" style="85" customWidth="1"/>
    <col min="6939" max="6939" width="10.4285714285714" style="85" customWidth="1"/>
    <col min="6940" max="6940" width="4" style="85" customWidth="1"/>
    <col min="6941" max="6941" width="10.4285714285714" style="85" customWidth="1"/>
    <col min="6942" max="6942" width="4" style="85" customWidth="1"/>
    <col min="6943" max="6943" width="11.1428571428571" style="85" customWidth="1"/>
    <col min="6944" max="6945" width="4" style="85" customWidth="1"/>
    <col min="6946" max="6946" width="9.14285714285714" style="85"/>
    <col min="6947" max="6955" width="4" style="85" customWidth="1"/>
    <col min="6956" max="6956" width="9.14285714285714" style="85"/>
    <col min="6957" max="6965" width="4" style="85" customWidth="1"/>
    <col min="6966" max="6966" width="9.14285714285714" style="85"/>
    <col min="6967" max="6975" width="4" style="85" customWidth="1"/>
    <col min="6976" max="6976" width="9.14285714285714" style="85"/>
    <col min="6977" max="6985" width="4" style="85" customWidth="1"/>
    <col min="6986" max="7182" width="9.14285714285714" style="85"/>
    <col min="7183" max="7184" width="6.42857142857143" style="85" customWidth="1"/>
    <col min="7185" max="7185" width="4" style="85" customWidth="1"/>
    <col min="7186" max="7186" width="6.42857142857143" style="85" customWidth="1"/>
    <col min="7187" max="7188" width="4" style="85" customWidth="1"/>
    <col min="7189" max="7189" width="8.28571428571429" style="85" customWidth="1"/>
    <col min="7190" max="7190" width="27.7142857142857" style="85" customWidth="1"/>
    <col min="7191" max="7191" width="10.4285714285714" style="85" customWidth="1"/>
    <col min="7192" max="7192" width="5.42857142857143" style="85" customWidth="1"/>
    <col min="7193" max="7193" width="7.85714285714286" style="85" customWidth="1"/>
    <col min="7194" max="7194" width="5.42857142857143" style="85" customWidth="1"/>
    <col min="7195" max="7195" width="10.4285714285714" style="85" customWidth="1"/>
    <col min="7196" max="7196" width="4" style="85" customWidth="1"/>
    <col min="7197" max="7197" width="10.4285714285714" style="85" customWidth="1"/>
    <col min="7198" max="7198" width="4" style="85" customWidth="1"/>
    <col min="7199" max="7199" width="11.1428571428571" style="85" customWidth="1"/>
    <col min="7200" max="7201" width="4" style="85" customWidth="1"/>
    <col min="7202" max="7202" width="9.14285714285714" style="85"/>
    <col min="7203" max="7211" width="4" style="85" customWidth="1"/>
    <col min="7212" max="7212" width="9.14285714285714" style="85"/>
    <col min="7213" max="7221" width="4" style="85" customWidth="1"/>
    <col min="7222" max="7222" width="9.14285714285714" style="85"/>
    <col min="7223" max="7231" width="4" style="85" customWidth="1"/>
    <col min="7232" max="7232" width="9.14285714285714" style="85"/>
    <col min="7233" max="7241" width="4" style="85" customWidth="1"/>
    <col min="7242" max="7438" width="9.14285714285714" style="85"/>
    <col min="7439" max="7440" width="6.42857142857143" style="85" customWidth="1"/>
    <col min="7441" max="7441" width="4" style="85" customWidth="1"/>
    <col min="7442" max="7442" width="6.42857142857143" style="85" customWidth="1"/>
    <col min="7443" max="7444" width="4" style="85" customWidth="1"/>
    <col min="7445" max="7445" width="8.28571428571429" style="85" customWidth="1"/>
    <col min="7446" max="7446" width="27.7142857142857" style="85" customWidth="1"/>
    <col min="7447" max="7447" width="10.4285714285714" style="85" customWidth="1"/>
    <col min="7448" max="7448" width="5.42857142857143" style="85" customWidth="1"/>
    <col min="7449" max="7449" width="7.85714285714286" style="85" customWidth="1"/>
    <col min="7450" max="7450" width="5.42857142857143" style="85" customWidth="1"/>
    <col min="7451" max="7451" width="10.4285714285714" style="85" customWidth="1"/>
    <col min="7452" max="7452" width="4" style="85" customWidth="1"/>
    <col min="7453" max="7453" width="10.4285714285714" style="85" customWidth="1"/>
    <col min="7454" max="7454" width="4" style="85" customWidth="1"/>
    <col min="7455" max="7455" width="11.1428571428571" style="85" customWidth="1"/>
    <col min="7456" max="7457" width="4" style="85" customWidth="1"/>
    <col min="7458" max="7458" width="9.14285714285714" style="85"/>
    <col min="7459" max="7467" width="4" style="85" customWidth="1"/>
    <col min="7468" max="7468" width="9.14285714285714" style="85"/>
    <col min="7469" max="7477" width="4" style="85" customWidth="1"/>
    <col min="7478" max="7478" width="9.14285714285714" style="85"/>
    <col min="7479" max="7487" width="4" style="85" customWidth="1"/>
    <col min="7488" max="7488" width="9.14285714285714" style="85"/>
    <col min="7489" max="7497" width="4" style="85" customWidth="1"/>
    <col min="7498" max="7694" width="9.14285714285714" style="85"/>
    <col min="7695" max="7696" width="6.42857142857143" style="85" customWidth="1"/>
    <col min="7697" max="7697" width="4" style="85" customWidth="1"/>
    <col min="7698" max="7698" width="6.42857142857143" style="85" customWidth="1"/>
    <col min="7699" max="7700" width="4" style="85" customWidth="1"/>
    <col min="7701" max="7701" width="8.28571428571429" style="85" customWidth="1"/>
    <col min="7702" max="7702" width="27.7142857142857" style="85" customWidth="1"/>
    <col min="7703" max="7703" width="10.4285714285714" style="85" customWidth="1"/>
    <col min="7704" max="7704" width="5.42857142857143" style="85" customWidth="1"/>
    <col min="7705" max="7705" width="7.85714285714286" style="85" customWidth="1"/>
    <col min="7706" max="7706" width="5.42857142857143" style="85" customWidth="1"/>
    <col min="7707" max="7707" width="10.4285714285714" style="85" customWidth="1"/>
    <col min="7708" max="7708" width="4" style="85" customWidth="1"/>
    <col min="7709" max="7709" width="10.4285714285714" style="85" customWidth="1"/>
    <col min="7710" max="7710" width="4" style="85" customWidth="1"/>
    <col min="7711" max="7711" width="11.1428571428571" style="85" customWidth="1"/>
    <col min="7712" max="7713" width="4" style="85" customWidth="1"/>
    <col min="7714" max="7714" width="9.14285714285714" style="85"/>
    <col min="7715" max="7723" width="4" style="85" customWidth="1"/>
    <col min="7724" max="7724" width="9.14285714285714" style="85"/>
    <col min="7725" max="7733" width="4" style="85" customWidth="1"/>
    <col min="7734" max="7734" width="9.14285714285714" style="85"/>
    <col min="7735" max="7743" width="4" style="85" customWidth="1"/>
    <col min="7744" max="7744" width="9.14285714285714" style="85"/>
    <col min="7745" max="7753" width="4" style="85" customWidth="1"/>
    <col min="7754" max="7950" width="9.14285714285714" style="85"/>
    <col min="7951" max="7952" width="6.42857142857143" style="85" customWidth="1"/>
    <col min="7953" max="7953" width="4" style="85" customWidth="1"/>
    <col min="7954" max="7954" width="6.42857142857143" style="85" customWidth="1"/>
    <col min="7955" max="7956" width="4" style="85" customWidth="1"/>
    <col min="7957" max="7957" width="8.28571428571429" style="85" customWidth="1"/>
    <col min="7958" max="7958" width="27.7142857142857" style="85" customWidth="1"/>
    <col min="7959" max="7959" width="10.4285714285714" style="85" customWidth="1"/>
    <col min="7960" max="7960" width="5.42857142857143" style="85" customWidth="1"/>
    <col min="7961" max="7961" width="7.85714285714286" style="85" customWidth="1"/>
    <col min="7962" max="7962" width="5.42857142857143" style="85" customWidth="1"/>
    <col min="7963" max="7963" width="10.4285714285714" style="85" customWidth="1"/>
    <col min="7964" max="7964" width="4" style="85" customWidth="1"/>
    <col min="7965" max="7965" width="10.4285714285714" style="85" customWidth="1"/>
    <col min="7966" max="7966" width="4" style="85" customWidth="1"/>
    <col min="7967" max="7967" width="11.1428571428571" style="85" customWidth="1"/>
    <col min="7968" max="7969" width="4" style="85" customWidth="1"/>
    <col min="7970" max="7970" width="9.14285714285714" style="85"/>
    <col min="7971" max="7979" width="4" style="85" customWidth="1"/>
    <col min="7980" max="7980" width="9.14285714285714" style="85"/>
    <col min="7981" max="7989" width="4" style="85" customWidth="1"/>
    <col min="7990" max="7990" width="9.14285714285714" style="85"/>
    <col min="7991" max="7999" width="4" style="85" customWidth="1"/>
    <col min="8000" max="8000" width="9.14285714285714" style="85"/>
    <col min="8001" max="8009" width="4" style="85" customWidth="1"/>
    <col min="8010" max="8206" width="9.14285714285714" style="85"/>
    <col min="8207" max="8208" width="6.42857142857143" style="85" customWidth="1"/>
    <col min="8209" max="8209" width="4" style="85" customWidth="1"/>
    <col min="8210" max="8210" width="6.42857142857143" style="85" customWidth="1"/>
    <col min="8211" max="8212" width="4" style="85" customWidth="1"/>
    <col min="8213" max="8213" width="8.28571428571429" style="85" customWidth="1"/>
    <col min="8214" max="8214" width="27.7142857142857" style="85" customWidth="1"/>
    <col min="8215" max="8215" width="10.4285714285714" style="85" customWidth="1"/>
    <col min="8216" max="8216" width="5.42857142857143" style="85" customWidth="1"/>
    <col min="8217" max="8217" width="7.85714285714286" style="85" customWidth="1"/>
    <col min="8218" max="8218" width="5.42857142857143" style="85" customWidth="1"/>
    <col min="8219" max="8219" width="10.4285714285714" style="85" customWidth="1"/>
    <col min="8220" max="8220" width="4" style="85" customWidth="1"/>
    <col min="8221" max="8221" width="10.4285714285714" style="85" customWidth="1"/>
    <col min="8222" max="8222" width="4" style="85" customWidth="1"/>
    <col min="8223" max="8223" width="11.1428571428571" style="85" customWidth="1"/>
    <col min="8224" max="8225" width="4" style="85" customWidth="1"/>
    <col min="8226" max="8226" width="9.14285714285714" style="85"/>
    <col min="8227" max="8235" width="4" style="85" customWidth="1"/>
    <col min="8236" max="8236" width="9.14285714285714" style="85"/>
    <col min="8237" max="8245" width="4" style="85" customWidth="1"/>
    <col min="8246" max="8246" width="9.14285714285714" style="85"/>
    <col min="8247" max="8255" width="4" style="85" customWidth="1"/>
    <col min="8256" max="8256" width="9.14285714285714" style="85"/>
    <col min="8257" max="8265" width="4" style="85" customWidth="1"/>
    <col min="8266" max="8462" width="9.14285714285714" style="85"/>
    <col min="8463" max="8464" width="6.42857142857143" style="85" customWidth="1"/>
    <col min="8465" max="8465" width="4" style="85" customWidth="1"/>
    <col min="8466" max="8466" width="6.42857142857143" style="85" customWidth="1"/>
    <col min="8467" max="8468" width="4" style="85" customWidth="1"/>
    <col min="8469" max="8469" width="8.28571428571429" style="85" customWidth="1"/>
    <col min="8470" max="8470" width="27.7142857142857" style="85" customWidth="1"/>
    <col min="8471" max="8471" width="10.4285714285714" style="85" customWidth="1"/>
    <col min="8472" max="8472" width="5.42857142857143" style="85" customWidth="1"/>
    <col min="8473" max="8473" width="7.85714285714286" style="85" customWidth="1"/>
    <col min="8474" max="8474" width="5.42857142857143" style="85" customWidth="1"/>
    <col min="8475" max="8475" width="10.4285714285714" style="85" customWidth="1"/>
    <col min="8476" max="8476" width="4" style="85" customWidth="1"/>
    <col min="8477" max="8477" width="10.4285714285714" style="85" customWidth="1"/>
    <col min="8478" max="8478" width="4" style="85" customWidth="1"/>
    <col min="8479" max="8479" width="11.1428571428571" style="85" customWidth="1"/>
    <col min="8480" max="8481" width="4" style="85" customWidth="1"/>
    <col min="8482" max="8482" width="9.14285714285714" style="85"/>
    <col min="8483" max="8491" width="4" style="85" customWidth="1"/>
    <col min="8492" max="8492" width="9.14285714285714" style="85"/>
    <col min="8493" max="8501" width="4" style="85" customWidth="1"/>
    <col min="8502" max="8502" width="9.14285714285714" style="85"/>
    <col min="8503" max="8511" width="4" style="85" customWidth="1"/>
    <col min="8512" max="8512" width="9.14285714285714" style="85"/>
    <col min="8513" max="8521" width="4" style="85" customWidth="1"/>
    <col min="8522" max="8718" width="9.14285714285714" style="85"/>
    <col min="8719" max="8720" width="6.42857142857143" style="85" customWidth="1"/>
    <col min="8721" max="8721" width="4" style="85" customWidth="1"/>
    <col min="8722" max="8722" width="6.42857142857143" style="85" customWidth="1"/>
    <col min="8723" max="8724" width="4" style="85" customWidth="1"/>
    <col min="8725" max="8725" width="8.28571428571429" style="85" customWidth="1"/>
    <col min="8726" max="8726" width="27.7142857142857" style="85" customWidth="1"/>
    <col min="8727" max="8727" width="10.4285714285714" style="85" customWidth="1"/>
    <col min="8728" max="8728" width="5.42857142857143" style="85" customWidth="1"/>
    <col min="8729" max="8729" width="7.85714285714286" style="85" customWidth="1"/>
    <col min="8730" max="8730" width="5.42857142857143" style="85" customWidth="1"/>
    <col min="8731" max="8731" width="10.4285714285714" style="85" customWidth="1"/>
    <col min="8732" max="8732" width="4" style="85" customWidth="1"/>
    <col min="8733" max="8733" width="10.4285714285714" style="85" customWidth="1"/>
    <col min="8734" max="8734" width="4" style="85" customWidth="1"/>
    <col min="8735" max="8735" width="11.1428571428571" style="85" customWidth="1"/>
    <col min="8736" max="8737" width="4" style="85" customWidth="1"/>
    <col min="8738" max="8738" width="9.14285714285714" style="85"/>
    <col min="8739" max="8747" width="4" style="85" customWidth="1"/>
    <col min="8748" max="8748" width="9.14285714285714" style="85"/>
    <col min="8749" max="8757" width="4" style="85" customWidth="1"/>
    <col min="8758" max="8758" width="9.14285714285714" style="85"/>
    <col min="8759" max="8767" width="4" style="85" customWidth="1"/>
    <col min="8768" max="8768" width="9.14285714285714" style="85"/>
    <col min="8769" max="8777" width="4" style="85" customWidth="1"/>
    <col min="8778" max="8974" width="9.14285714285714" style="85"/>
    <col min="8975" max="8976" width="6.42857142857143" style="85" customWidth="1"/>
    <col min="8977" max="8977" width="4" style="85" customWidth="1"/>
    <col min="8978" max="8978" width="6.42857142857143" style="85" customWidth="1"/>
    <col min="8979" max="8980" width="4" style="85" customWidth="1"/>
    <col min="8981" max="8981" width="8.28571428571429" style="85" customWidth="1"/>
    <col min="8982" max="8982" width="27.7142857142857" style="85" customWidth="1"/>
    <col min="8983" max="8983" width="10.4285714285714" style="85" customWidth="1"/>
    <col min="8984" max="8984" width="5.42857142857143" style="85" customWidth="1"/>
    <col min="8985" max="8985" width="7.85714285714286" style="85" customWidth="1"/>
    <col min="8986" max="8986" width="5.42857142857143" style="85" customWidth="1"/>
    <col min="8987" max="8987" width="10.4285714285714" style="85" customWidth="1"/>
    <col min="8988" max="8988" width="4" style="85" customWidth="1"/>
    <col min="8989" max="8989" width="10.4285714285714" style="85" customWidth="1"/>
    <col min="8990" max="8990" width="4" style="85" customWidth="1"/>
    <col min="8991" max="8991" width="11.1428571428571" style="85" customWidth="1"/>
    <col min="8992" max="8993" width="4" style="85" customWidth="1"/>
    <col min="8994" max="8994" width="9.14285714285714" style="85"/>
    <col min="8995" max="9003" width="4" style="85" customWidth="1"/>
    <col min="9004" max="9004" width="9.14285714285714" style="85"/>
    <col min="9005" max="9013" width="4" style="85" customWidth="1"/>
    <col min="9014" max="9014" width="9.14285714285714" style="85"/>
    <col min="9015" max="9023" width="4" style="85" customWidth="1"/>
    <col min="9024" max="9024" width="9.14285714285714" style="85"/>
    <col min="9025" max="9033" width="4" style="85" customWidth="1"/>
    <col min="9034" max="9230" width="9.14285714285714" style="85"/>
    <col min="9231" max="9232" width="6.42857142857143" style="85" customWidth="1"/>
    <col min="9233" max="9233" width="4" style="85" customWidth="1"/>
    <col min="9234" max="9234" width="6.42857142857143" style="85" customWidth="1"/>
    <col min="9235" max="9236" width="4" style="85" customWidth="1"/>
    <col min="9237" max="9237" width="8.28571428571429" style="85" customWidth="1"/>
    <col min="9238" max="9238" width="27.7142857142857" style="85" customWidth="1"/>
    <col min="9239" max="9239" width="10.4285714285714" style="85" customWidth="1"/>
    <col min="9240" max="9240" width="5.42857142857143" style="85" customWidth="1"/>
    <col min="9241" max="9241" width="7.85714285714286" style="85" customWidth="1"/>
    <col min="9242" max="9242" width="5.42857142857143" style="85" customWidth="1"/>
    <col min="9243" max="9243" width="10.4285714285714" style="85" customWidth="1"/>
    <col min="9244" max="9244" width="4" style="85" customWidth="1"/>
    <col min="9245" max="9245" width="10.4285714285714" style="85" customWidth="1"/>
    <col min="9246" max="9246" width="4" style="85" customWidth="1"/>
    <col min="9247" max="9247" width="11.1428571428571" style="85" customWidth="1"/>
    <col min="9248" max="9249" width="4" style="85" customWidth="1"/>
    <col min="9250" max="9250" width="9.14285714285714" style="85"/>
    <col min="9251" max="9259" width="4" style="85" customWidth="1"/>
    <col min="9260" max="9260" width="9.14285714285714" style="85"/>
    <col min="9261" max="9269" width="4" style="85" customWidth="1"/>
    <col min="9270" max="9270" width="9.14285714285714" style="85"/>
    <col min="9271" max="9279" width="4" style="85" customWidth="1"/>
    <col min="9280" max="9280" width="9.14285714285714" style="85"/>
    <col min="9281" max="9289" width="4" style="85" customWidth="1"/>
    <col min="9290" max="9486" width="9.14285714285714" style="85"/>
    <col min="9487" max="9488" width="6.42857142857143" style="85" customWidth="1"/>
    <col min="9489" max="9489" width="4" style="85" customWidth="1"/>
    <col min="9490" max="9490" width="6.42857142857143" style="85" customWidth="1"/>
    <col min="9491" max="9492" width="4" style="85" customWidth="1"/>
    <col min="9493" max="9493" width="8.28571428571429" style="85" customWidth="1"/>
    <col min="9494" max="9494" width="27.7142857142857" style="85" customWidth="1"/>
    <col min="9495" max="9495" width="10.4285714285714" style="85" customWidth="1"/>
    <col min="9496" max="9496" width="5.42857142857143" style="85" customWidth="1"/>
    <col min="9497" max="9497" width="7.85714285714286" style="85" customWidth="1"/>
    <col min="9498" max="9498" width="5.42857142857143" style="85" customWidth="1"/>
    <col min="9499" max="9499" width="10.4285714285714" style="85" customWidth="1"/>
    <col min="9500" max="9500" width="4" style="85" customWidth="1"/>
    <col min="9501" max="9501" width="10.4285714285714" style="85" customWidth="1"/>
    <col min="9502" max="9502" width="4" style="85" customWidth="1"/>
    <col min="9503" max="9503" width="11.1428571428571" style="85" customWidth="1"/>
    <col min="9504" max="9505" width="4" style="85" customWidth="1"/>
    <col min="9506" max="9506" width="9.14285714285714" style="85"/>
    <col min="9507" max="9515" width="4" style="85" customWidth="1"/>
    <col min="9516" max="9516" width="9.14285714285714" style="85"/>
    <col min="9517" max="9525" width="4" style="85" customWidth="1"/>
    <col min="9526" max="9526" width="9.14285714285714" style="85"/>
    <col min="9527" max="9535" width="4" style="85" customWidth="1"/>
    <col min="9536" max="9536" width="9.14285714285714" style="85"/>
    <col min="9537" max="9545" width="4" style="85" customWidth="1"/>
    <col min="9546" max="9742" width="9.14285714285714" style="85"/>
    <col min="9743" max="9744" width="6.42857142857143" style="85" customWidth="1"/>
    <col min="9745" max="9745" width="4" style="85" customWidth="1"/>
    <col min="9746" max="9746" width="6.42857142857143" style="85" customWidth="1"/>
    <col min="9747" max="9748" width="4" style="85" customWidth="1"/>
    <col min="9749" max="9749" width="8.28571428571429" style="85" customWidth="1"/>
    <col min="9750" max="9750" width="27.7142857142857" style="85" customWidth="1"/>
    <col min="9751" max="9751" width="10.4285714285714" style="85" customWidth="1"/>
    <col min="9752" max="9752" width="5.42857142857143" style="85" customWidth="1"/>
    <col min="9753" max="9753" width="7.85714285714286" style="85" customWidth="1"/>
    <col min="9754" max="9754" width="5.42857142857143" style="85" customWidth="1"/>
    <col min="9755" max="9755" width="10.4285714285714" style="85" customWidth="1"/>
    <col min="9756" max="9756" width="4" style="85" customWidth="1"/>
    <col min="9757" max="9757" width="10.4285714285714" style="85" customWidth="1"/>
    <col min="9758" max="9758" width="4" style="85" customWidth="1"/>
    <col min="9759" max="9759" width="11.1428571428571" style="85" customWidth="1"/>
    <col min="9760" max="9761" width="4" style="85" customWidth="1"/>
    <col min="9762" max="9762" width="9.14285714285714" style="85"/>
    <col min="9763" max="9771" width="4" style="85" customWidth="1"/>
    <col min="9772" max="9772" width="9.14285714285714" style="85"/>
    <col min="9773" max="9781" width="4" style="85" customWidth="1"/>
    <col min="9782" max="9782" width="9.14285714285714" style="85"/>
    <col min="9783" max="9791" width="4" style="85" customWidth="1"/>
    <col min="9792" max="9792" width="9.14285714285714" style="85"/>
    <col min="9793" max="9801" width="4" style="85" customWidth="1"/>
    <col min="9802" max="9998" width="9.14285714285714" style="85"/>
    <col min="9999" max="10000" width="6.42857142857143" style="85" customWidth="1"/>
    <col min="10001" max="10001" width="4" style="85" customWidth="1"/>
    <col min="10002" max="10002" width="6.42857142857143" style="85" customWidth="1"/>
    <col min="10003" max="10004" width="4" style="85" customWidth="1"/>
    <col min="10005" max="10005" width="8.28571428571429" style="85" customWidth="1"/>
    <col min="10006" max="10006" width="27.7142857142857" style="85" customWidth="1"/>
    <col min="10007" max="10007" width="10.4285714285714" style="85" customWidth="1"/>
    <col min="10008" max="10008" width="5.42857142857143" style="85" customWidth="1"/>
    <col min="10009" max="10009" width="7.85714285714286" style="85" customWidth="1"/>
    <col min="10010" max="10010" width="5.42857142857143" style="85" customWidth="1"/>
    <col min="10011" max="10011" width="10.4285714285714" style="85" customWidth="1"/>
    <col min="10012" max="10012" width="4" style="85" customWidth="1"/>
    <col min="10013" max="10013" width="10.4285714285714" style="85" customWidth="1"/>
    <col min="10014" max="10014" width="4" style="85" customWidth="1"/>
    <col min="10015" max="10015" width="11.1428571428571" style="85" customWidth="1"/>
    <col min="10016" max="10017" width="4" style="85" customWidth="1"/>
    <col min="10018" max="10018" width="9.14285714285714" style="85"/>
    <col min="10019" max="10027" width="4" style="85" customWidth="1"/>
    <col min="10028" max="10028" width="9.14285714285714" style="85"/>
    <col min="10029" max="10037" width="4" style="85" customWidth="1"/>
    <col min="10038" max="10038" width="9.14285714285714" style="85"/>
    <col min="10039" max="10047" width="4" style="85" customWidth="1"/>
    <col min="10048" max="10048" width="9.14285714285714" style="85"/>
    <col min="10049" max="10057" width="4" style="85" customWidth="1"/>
    <col min="10058" max="10254" width="9.14285714285714" style="85"/>
    <col min="10255" max="10256" width="6.42857142857143" style="85" customWidth="1"/>
    <col min="10257" max="10257" width="4" style="85" customWidth="1"/>
    <col min="10258" max="10258" width="6.42857142857143" style="85" customWidth="1"/>
    <col min="10259" max="10260" width="4" style="85" customWidth="1"/>
    <col min="10261" max="10261" width="8.28571428571429" style="85" customWidth="1"/>
    <col min="10262" max="10262" width="27.7142857142857" style="85" customWidth="1"/>
    <col min="10263" max="10263" width="10.4285714285714" style="85" customWidth="1"/>
    <col min="10264" max="10264" width="5.42857142857143" style="85" customWidth="1"/>
    <col min="10265" max="10265" width="7.85714285714286" style="85" customWidth="1"/>
    <col min="10266" max="10266" width="5.42857142857143" style="85" customWidth="1"/>
    <col min="10267" max="10267" width="10.4285714285714" style="85" customWidth="1"/>
    <col min="10268" max="10268" width="4" style="85" customWidth="1"/>
    <col min="10269" max="10269" width="10.4285714285714" style="85" customWidth="1"/>
    <col min="10270" max="10270" width="4" style="85" customWidth="1"/>
    <col min="10271" max="10271" width="11.1428571428571" style="85" customWidth="1"/>
    <col min="10272" max="10273" width="4" style="85" customWidth="1"/>
    <col min="10274" max="10274" width="9.14285714285714" style="85"/>
    <col min="10275" max="10283" width="4" style="85" customWidth="1"/>
    <col min="10284" max="10284" width="9.14285714285714" style="85"/>
    <col min="10285" max="10293" width="4" style="85" customWidth="1"/>
    <col min="10294" max="10294" width="9.14285714285714" style="85"/>
    <col min="10295" max="10303" width="4" style="85" customWidth="1"/>
    <col min="10304" max="10304" width="9.14285714285714" style="85"/>
    <col min="10305" max="10313" width="4" style="85" customWidth="1"/>
    <col min="10314" max="10510" width="9.14285714285714" style="85"/>
    <col min="10511" max="10512" width="6.42857142857143" style="85" customWidth="1"/>
    <col min="10513" max="10513" width="4" style="85" customWidth="1"/>
    <col min="10514" max="10514" width="6.42857142857143" style="85" customWidth="1"/>
    <col min="10515" max="10516" width="4" style="85" customWidth="1"/>
    <col min="10517" max="10517" width="8.28571428571429" style="85" customWidth="1"/>
    <col min="10518" max="10518" width="27.7142857142857" style="85" customWidth="1"/>
    <col min="10519" max="10519" width="10.4285714285714" style="85" customWidth="1"/>
    <col min="10520" max="10520" width="5.42857142857143" style="85" customWidth="1"/>
    <col min="10521" max="10521" width="7.85714285714286" style="85" customWidth="1"/>
    <col min="10522" max="10522" width="5.42857142857143" style="85" customWidth="1"/>
    <col min="10523" max="10523" width="10.4285714285714" style="85" customWidth="1"/>
    <col min="10524" max="10524" width="4" style="85" customWidth="1"/>
    <col min="10525" max="10525" width="10.4285714285714" style="85" customWidth="1"/>
    <col min="10526" max="10526" width="4" style="85" customWidth="1"/>
    <col min="10527" max="10527" width="11.1428571428571" style="85" customWidth="1"/>
    <col min="10528" max="10529" width="4" style="85" customWidth="1"/>
    <col min="10530" max="10530" width="9.14285714285714" style="85"/>
    <col min="10531" max="10539" width="4" style="85" customWidth="1"/>
    <col min="10540" max="10540" width="9.14285714285714" style="85"/>
    <col min="10541" max="10549" width="4" style="85" customWidth="1"/>
    <col min="10550" max="10550" width="9.14285714285714" style="85"/>
    <col min="10551" max="10559" width="4" style="85" customWidth="1"/>
    <col min="10560" max="10560" width="9.14285714285714" style="85"/>
    <col min="10561" max="10569" width="4" style="85" customWidth="1"/>
    <col min="10570" max="10766" width="9.14285714285714" style="85"/>
    <col min="10767" max="10768" width="6.42857142857143" style="85" customWidth="1"/>
    <col min="10769" max="10769" width="4" style="85" customWidth="1"/>
    <col min="10770" max="10770" width="6.42857142857143" style="85" customWidth="1"/>
    <col min="10771" max="10772" width="4" style="85" customWidth="1"/>
    <col min="10773" max="10773" width="8.28571428571429" style="85" customWidth="1"/>
    <col min="10774" max="10774" width="27.7142857142857" style="85" customWidth="1"/>
    <col min="10775" max="10775" width="10.4285714285714" style="85" customWidth="1"/>
    <col min="10776" max="10776" width="5.42857142857143" style="85" customWidth="1"/>
    <col min="10777" max="10777" width="7.85714285714286" style="85" customWidth="1"/>
    <col min="10778" max="10778" width="5.42857142857143" style="85" customWidth="1"/>
    <col min="10779" max="10779" width="10.4285714285714" style="85" customWidth="1"/>
    <col min="10780" max="10780" width="4" style="85" customWidth="1"/>
    <col min="10781" max="10781" width="10.4285714285714" style="85" customWidth="1"/>
    <col min="10782" max="10782" width="4" style="85" customWidth="1"/>
    <col min="10783" max="10783" width="11.1428571428571" style="85" customWidth="1"/>
    <col min="10784" max="10785" width="4" style="85" customWidth="1"/>
    <col min="10786" max="10786" width="9.14285714285714" style="85"/>
    <col min="10787" max="10795" width="4" style="85" customWidth="1"/>
    <col min="10796" max="10796" width="9.14285714285714" style="85"/>
    <col min="10797" max="10805" width="4" style="85" customWidth="1"/>
    <col min="10806" max="10806" width="9.14285714285714" style="85"/>
    <col min="10807" max="10815" width="4" style="85" customWidth="1"/>
    <col min="10816" max="10816" width="9.14285714285714" style="85"/>
    <col min="10817" max="10825" width="4" style="85" customWidth="1"/>
    <col min="10826" max="11022" width="9.14285714285714" style="85"/>
    <col min="11023" max="11024" width="6.42857142857143" style="85" customWidth="1"/>
    <col min="11025" max="11025" width="4" style="85" customWidth="1"/>
    <col min="11026" max="11026" width="6.42857142857143" style="85" customWidth="1"/>
    <col min="11027" max="11028" width="4" style="85" customWidth="1"/>
    <col min="11029" max="11029" width="8.28571428571429" style="85" customWidth="1"/>
    <col min="11030" max="11030" width="27.7142857142857" style="85" customWidth="1"/>
    <col min="11031" max="11031" width="10.4285714285714" style="85" customWidth="1"/>
    <col min="11032" max="11032" width="5.42857142857143" style="85" customWidth="1"/>
    <col min="11033" max="11033" width="7.85714285714286" style="85" customWidth="1"/>
    <col min="11034" max="11034" width="5.42857142857143" style="85" customWidth="1"/>
    <col min="11035" max="11035" width="10.4285714285714" style="85" customWidth="1"/>
    <col min="11036" max="11036" width="4" style="85" customWidth="1"/>
    <col min="11037" max="11037" width="10.4285714285714" style="85" customWidth="1"/>
    <col min="11038" max="11038" width="4" style="85" customWidth="1"/>
    <col min="11039" max="11039" width="11.1428571428571" style="85" customWidth="1"/>
    <col min="11040" max="11041" width="4" style="85" customWidth="1"/>
    <col min="11042" max="11042" width="9.14285714285714" style="85"/>
    <col min="11043" max="11051" width="4" style="85" customWidth="1"/>
    <col min="11052" max="11052" width="9.14285714285714" style="85"/>
    <col min="11053" max="11061" width="4" style="85" customWidth="1"/>
    <col min="11062" max="11062" width="9.14285714285714" style="85"/>
    <col min="11063" max="11071" width="4" style="85" customWidth="1"/>
    <col min="11072" max="11072" width="9.14285714285714" style="85"/>
    <col min="11073" max="11081" width="4" style="85" customWidth="1"/>
    <col min="11082" max="11278" width="9.14285714285714" style="85"/>
    <col min="11279" max="11280" width="6.42857142857143" style="85" customWidth="1"/>
    <col min="11281" max="11281" width="4" style="85" customWidth="1"/>
    <col min="11282" max="11282" width="6.42857142857143" style="85" customWidth="1"/>
    <col min="11283" max="11284" width="4" style="85" customWidth="1"/>
    <col min="11285" max="11285" width="8.28571428571429" style="85" customWidth="1"/>
    <col min="11286" max="11286" width="27.7142857142857" style="85" customWidth="1"/>
    <col min="11287" max="11287" width="10.4285714285714" style="85" customWidth="1"/>
    <col min="11288" max="11288" width="5.42857142857143" style="85" customWidth="1"/>
    <col min="11289" max="11289" width="7.85714285714286" style="85" customWidth="1"/>
    <col min="11290" max="11290" width="5.42857142857143" style="85" customWidth="1"/>
    <col min="11291" max="11291" width="10.4285714285714" style="85" customWidth="1"/>
    <col min="11292" max="11292" width="4" style="85" customWidth="1"/>
    <col min="11293" max="11293" width="10.4285714285714" style="85" customWidth="1"/>
    <col min="11294" max="11294" width="4" style="85" customWidth="1"/>
    <col min="11295" max="11295" width="11.1428571428571" style="85" customWidth="1"/>
    <col min="11296" max="11297" width="4" style="85" customWidth="1"/>
    <col min="11298" max="11298" width="9.14285714285714" style="85"/>
    <col min="11299" max="11307" width="4" style="85" customWidth="1"/>
    <col min="11308" max="11308" width="9.14285714285714" style="85"/>
    <col min="11309" max="11317" width="4" style="85" customWidth="1"/>
    <col min="11318" max="11318" width="9.14285714285714" style="85"/>
    <col min="11319" max="11327" width="4" style="85" customWidth="1"/>
    <col min="11328" max="11328" width="9.14285714285714" style="85"/>
    <col min="11329" max="11337" width="4" style="85" customWidth="1"/>
    <col min="11338" max="11534" width="9.14285714285714" style="85"/>
    <col min="11535" max="11536" width="6.42857142857143" style="85" customWidth="1"/>
    <col min="11537" max="11537" width="4" style="85" customWidth="1"/>
    <col min="11538" max="11538" width="6.42857142857143" style="85" customWidth="1"/>
    <col min="11539" max="11540" width="4" style="85" customWidth="1"/>
    <col min="11541" max="11541" width="8.28571428571429" style="85" customWidth="1"/>
    <col min="11542" max="11542" width="27.7142857142857" style="85" customWidth="1"/>
    <col min="11543" max="11543" width="10.4285714285714" style="85" customWidth="1"/>
    <col min="11544" max="11544" width="5.42857142857143" style="85" customWidth="1"/>
    <col min="11545" max="11545" width="7.85714285714286" style="85" customWidth="1"/>
    <col min="11546" max="11546" width="5.42857142857143" style="85" customWidth="1"/>
    <col min="11547" max="11547" width="10.4285714285714" style="85" customWidth="1"/>
    <col min="11548" max="11548" width="4" style="85" customWidth="1"/>
    <col min="11549" max="11549" width="10.4285714285714" style="85" customWidth="1"/>
    <col min="11550" max="11550" width="4" style="85" customWidth="1"/>
    <col min="11551" max="11551" width="11.1428571428571" style="85" customWidth="1"/>
    <col min="11552" max="11553" width="4" style="85" customWidth="1"/>
    <col min="11554" max="11554" width="9.14285714285714" style="85"/>
    <col min="11555" max="11563" width="4" style="85" customWidth="1"/>
    <col min="11564" max="11564" width="9.14285714285714" style="85"/>
    <col min="11565" max="11573" width="4" style="85" customWidth="1"/>
    <col min="11574" max="11574" width="9.14285714285714" style="85"/>
    <col min="11575" max="11583" width="4" style="85" customWidth="1"/>
    <col min="11584" max="11584" width="9.14285714285714" style="85"/>
    <col min="11585" max="11593" width="4" style="85" customWidth="1"/>
    <col min="11594" max="11790" width="9.14285714285714" style="85"/>
    <col min="11791" max="11792" width="6.42857142857143" style="85" customWidth="1"/>
    <col min="11793" max="11793" width="4" style="85" customWidth="1"/>
    <col min="11794" max="11794" width="6.42857142857143" style="85" customWidth="1"/>
    <col min="11795" max="11796" width="4" style="85" customWidth="1"/>
    <col min="11797" max="11797" width="8.28571428571429" style="85" customWidth="1"/>
    <col min="11798" max="11798" width="27.7142857142857" style="85" customWidth="1"/>
    <col min="11799" max="11799" width="10.4285714285714" style="85" customWidth="1"/>
    <col min="11800" max="11800" width="5.42857142857143" style="85" customWidth="1"/>
    <col min="11801" max="11801" width="7.85714285714286" style="85" customWidth="1"/>
    <col min="11802" max="11802" width="5.42857142857143" style="85" customWidth="1"/>
    <col min="11803" max="11803" width="10.4285714285714" style="85" customWidth="1"/>
    <col min="11804" max="11804" width="4" style="85" customWidth="1"/>
    <col min="11805" max="11805" width="10.4285714285714" style="85" customWidth="1"/>
    <col min="11806" max="11806" width="4" style="85" customWidth="1"/>
    <col min="11807" max="11807" width="11.1428571428571" style="85" customWidth="1"/>
    <col min="11808" max="11809" width="4" style="85" customWidth="1"/>
    <col min="11810" max="11810" width="9.14285714285714" style="85"/>
    <col min="11811" max="11819" width="4" style="85" customWidth="1"/>
    <col min="11820" max="11820" width="9.14285714285714" style="85"/>
    <col min="11821" max="11829" width="4" style="85" customWidth="1"/>
    <col min="11830" max="11830" width="9.14285714285714" style="85"/>
    <col min="11831" max="11839" width="4" style="85" customWidth="1"/>
    <col min="11840" max="11840" width="9.14285714285714" style="85"/>
    <col min="11841" max="11849" width="4" style="85" customWidth="1"/>
    <col min="11850" max="12046" width="9.14285714285714" style="85"/>
    <col min="12047" max="12048" width="6.42857142857143" style="85" customWidth="1"/>
    <col min="12049" max="12049" width="4" style="85" customWidth="1"/>
    <col min="12050" max="12050" width="6.42857142857143" style="85" customWidth="1"/>
    <col min="12051" max="12052" width="4" style="85" customWidth="1"/>
    <col min="12053" max="12053" width="8.28571428571429" style="85" customWidth="1"/>
    <col min="12054" max="12054" width="27.7142857142857" style="85" customWidth="1"/>
    <col min="12055" max="12055" width="10.4285714285714" style="85" customWidth="1"/>
    <col min="12056" max="12056" width="5.42857142857143" style="85" customWidth="1"/>
    <col min="12057" max="12057" width="7.85714285714286" style="85" customWidth="1"/>
    <col min="12058" max="12058" width="5.42857142857143" style="85" customWidth="1"/>
    <col min="12059" max="12059" width="10.4285714285714" style="85" customWidth="1"/>
    <col min="12060" max="12060" width="4" style="85" customWidth="1"/>
    <col min="12061" max="12061" width="10.4285714285714" style="85" customWidth="1"/>
    <col min="12062" max="12062" width="4" style="85" customWidth="1"/>
    <col min="12063" max="12063" width="11.1428571428571" style="85" customWidth="1"/>
    <col min="12064" max="12065" width="4" style="85" customWidth="1"/>
    <col min="12066" max="12066" width="9.14285714285714" style="85"/>
    <col min="12067" max="12075" width="4" style="85" customWidth="1"/>
    <col min="12076" max="12076" width="9.14285714285714" style="85"/>
    <col min="12077" max="12085" width="4" style="85" customWidth="1"/>
    <col min="12086" max="12086" width="9.14285714285714" style="85"/>
    <col min="12087" max="12095" width="4" style="85" customWidth="1"/>
    <col min="12096" max="12096" width="9.14285714285714" style="85"/>
    <col min="12097" max="12105" width="4" style="85" customWidth="1"/>
    <col min="12106" max="12302" width="9.14285714285714" style="85"/>
    <col min="12303" max="12304" width="6.42857142857143" style="85" customWidth="1"/>
    <col min="12305" max="12305" width="4" style="85" customWidth="1"/>
    <col min="12306" max="12306" width="6.42857142857143" style="85" customWidth="1"/>
    <col min="12307" max="12308" width="4" style="85" customWidth="1"/>
    <col min="12309" max="12309" width="8.28571428571429" style="85" customWidth="1"/>
    <col min="12310" max="12310" width="27.7142857142857" style="85" customWidth="1"/>
    <col min="12311" max="12311" width="10.4285714285714" style="85" customWidth="1"/>
    <col min="12312" max="12312" width="5.42857142857143" style="85" customWidth="1"/>
    <col min="12313" max="12313" width="7.85714285714286" style="85" customWidth="1"/>
    <col min="12314" max="12314" width="5.42857142857143" style="85" customWidth="1"/>
    <col min="12315" max="12315" width="10.4285714285714" style="85" customWidth="1"/>
    <col min="12316" max="12316" width="4" style="85" customWidth="1"/>
    <col min="12317" max="12317" width="10.4285714285714" style="85" customWidth="1"/>
    <col min="12318" max="12318" width="4" style="85" customWidth="1"/>
    <col min="12319" max="12319" width="11.1428571428571" style="85" customWidth="1"/>
    <col min="12320" max="12321" width="4" style="85" customWidth="1"/>
    <col min="12322" max="12322" width="9.14285714285714" style="85"/>
    <col min="12323" max="12331" width="4" style="85" customWidth="1"/>
    <col min="12332" max="12332" width="9.14285714285714" style="85"/>
    <col min="12333" max="12341" width="4" style="85" customWidth="1"/>
    <col min="12342" max="12342" width="9.14285714285714" style="85"/>
    <col min="12343" max="12351" width="4" style="85" customWidth="1"/>
    <col min="12352" max="12352" width="9.14285714285714" style="85"/>
    <col min="12353" max="12361" width="4" style="85" customWidth="1"/>
    <col min="12362" max="12558" width="9.14285714285714" style="85"/>
    <col min="12559" max="12560" width="6.42857142857143" style="85" customWidth="1"/>
    <col min="12561" max="12561" width="4" style="85" customWidth="1"/>
    <col min="12562" max="12562" width="6.42857142857143" style="85" customWidth="1"/>
    <col min="12563" max="12564" width="4" style="85" customWidth="1"/>
    <col min="12565" max="12565" width="8.28571428571429" style="85" customWidth="1"/>
    <col min="12566" max="12566" width="27.7142857142857" style="85" customWidth="1"/>
    <col min="12567" max="12567" width="10.4285714285714" style="85" customWidth="1"/>
    <col min="12568" max="12568" width="5.42857142857143" style="85" customWidth="1"/>
    <col min="12569" max="12569" width="7.85714285714286" style="85" customWidth="1"/>
    <col min="12570" max="12570" width="5.42857142857143" style="85" customWidth="1"/>
    <col min="12571" max="12571" width="10.4285714285714" style="85" customWidth="1"/>
    <col min="12572" max="12572" width="4" style="85" customWidth="1"/>
    <col min="12573" max="12573" width="10.4285714285714" style="85" customWidth="1"/>
    <col min="12574" max="12574" width="4" style="85" customWidth="1"/>
    <col min="12575" max="12575" width="11.1428571428571" style="85" customWidth="1"/>
    <col min="12576" max="12577" width="4" style="85" customWidth="1"/>
    <col min="12578" max="12578" width="9.14285714285714" style="85"/>
    <col min="12579" max="12587" width="4" style="85" customWidth="1"/>
    <col min="12588" max="12588" width="9.14285714285714" style="85"/>
    <col min="12589" max="12597" width="4" style="85" customWidth="1"/>
    <col min="12598" max="12598" width="9.14285714285714" style="85"/>
    <col min="12599" max="12607" width="4" style="85" customWidth="1"/>
    <col min="12608" max="12608" width="9.14285714285714" style="85"/>
    <col min="12609" max="12617" width="4" style="85" customWidth="1"/>
    <col min="12618" max="12814" width="9.14285714285714" style="85"/>
    <col min="12815" max="12816" width="6.42857142857143" style="85" customWidth="1"/>
    <col min="12817" max="12817" width="4" style="85" customWidth="1"/>
    <col min="12818" max="12818" width="6.42857142857143" style="85" customWidth="1"/>
    <col min="12819" max="12820" width="4" style="85" customWidth="1"/>
    <col min="12821" max="12821" width="8.28571428571429" style="85" customWidth="1"/>
    <col min="12822" max="12822" width="27.7142857142857" style="85" customWidth="1"/>
    <col min="12823" max="12823" width="10.4285714285714" style="85" customWidth="1"/>
    <col min="12824" max="12824" width="5.42857142857143" style="85" customWidth="1"/>
    <col min="12825" max="12825" width="7.85714285714286" style="85" customWidth="1"/>
    <col min="12826" max="12826" width="5.42857142857143" style="85" customWidth="1"/>
    <col min="12827" max="12827" width="10.4285714285714" style="85" customWidth="1"/>
    <col min="12828" max="12828" width="4" style="85" customWidth="1"/>
    <col min="12829" max="12829" width="10.4285714285714" style="85" customWidth="1"/>
    <col min="12830" max="12830" width="4" style="85" customWidth="1"/>
    <col min="12831" max="12831" width="11.1428571428571" style="85" customWidth="1"/>
    <col min="12832" max="12833" width="4" style="85" customWidth="1"/>
    <col min="12834" max="12834" width="9.14285714285714" style="85"/>
    <col min="12835" max="12843" width="4" style="85" customWidth="1"/>
    <col min="12844" max="12844" width="9.14285714285714" style="85"/>
    <col min="12845" max="12853" width="4" style="85" customWidth="1"/>
    <col min="12854" max="12854" width="9.14285714285714" style="85"/>
    <col min="12855" max="12863" width="4" style="85" customWidth="1"/>
    <col min="12864" max="12864" width="9.14285714285714" style="85"/>
    <col min="12865" max="12873" width="4" style="85" customWidth="1"/>
    <col min="12874" max="13070" width="9.14285714285714" style="85"/>
    <col min="13071" max="13072" width="6.42857142857143" style="85" customWidth="1"/>
    <col min="13073" max="13073" width="4" style="85" customWidth="1"/>
    <col min="13074" max="13074" width="6.42857142857143" style="85" customWidth="1"/>
    <col min="13075" max="13076" width="4" style="85" customWidth="1"/>
    <col min="13077" max="13077" width="8.28571428571429" style="85" customWidth="1"/>
    <col min="13078" max="13078" width="27.7142857142857" style="85" customWidth="1"/>
    <col min="13079" max="13079" width="10.4285714285714" style="85" customWidth="1"/>
    <col min="13080" max="13080" width="5.42857142857143" style="85" customWidth="1"/>
    <col min="13081" max="13081" width="7.85714285714286" style="85" customWidth="1"/>
    <col min="13082" max="13082" width="5.42857142857143" style="85" customWidth="1"/>
    <col min="13083" max="13083" width="10.4285714285714" style="85" customWidth="1"/>
    <col min="13084" max="13084" width="4" style="85" customWidth="1"/>
    <col min="13085" max="13085" width="10.4285714285714" style="85" customWidth="1"/>
    <col min="13086" max="13086" width="4" style="85" customWidth="1"/>
    <col min="13087" max="13087" width="11.1428571428571" style="85" customWidth="1"/>
    <col min="13088" max="13089" width="4" style="85" customWidth="1"/>
    <col min="13090" max="13090" width="9.14285714285714" style="85"/>
    <col min="13091" max="13099" width="4" style="85" customWidth="1"/>
    <col min="13100" max="13100" width="9.14285714285714" style="85"/>
    <col min="13101" max="13109" width="4" style="85" customWidth="1"/>
    <col min="13110" max="13110" width="9.14285714285714" style="85"/>
    <col min="13111" max="13119" width="4" style="85" customWidth="1"/>
    <col min="13120" max="13120" width="9.14285714285714" style="85"/>
    <col min="13121" max="13129" width="4" style="85" customWidth="1"/>
    <col min="13130" max="13326" width="9.14285714285714" style="85"/>
    <col min="13327" max="13328" width="6.42857142857143" style="85" customWidth="1"/>
    <col min="13329" max="13329" width="4" style="85" customWidth="1"/>
    <col min="13330" max="13330" width="6.42857142857143" style="85" customWidth="1"/>
    <col min="13331" max="13332" width="4" style="85" customWidth="1"/>
    <col min="13333" max="13333" width="8.28571428571429" style="85" customWidth="1"/>
    <col min="13334" max="13334" width="27.7142857142857" style="85" customWidth="1"/>
    <col min="13335" max="13335" width="10.4285714285714" style="85" customWidth="1"/>
    <col min="13336" max="13336" width="5.42857142857143" style="85" customWidth="1"/>
    <col min="13337" max="13337" width="7.85714285714286" style="85" customWidth="1"/>
    <col min="13338" max="13338" width="5.42857142857143" style="85" customWidth="1"/>
    <col min="13339" max="13339" width="10.4285714285714" style="85" customWidth="1"/>
    <col min="13340" max="13340" width="4" style="85" customWidth="1"/>
    <col min="13341" max="13341" width="10.4285714285714" style="85" customWidth="1"/>
    <col min="13342" max="13342" width="4" style="85" customWidth="1"/>
    <col min="13343" max="13343" width="11.1428571428571" style="85" customWidth="1"/>
    <col min="13344" max="13345" width="4" style="85" customWidth="1"/>
    <col min="13346" max="13346" width="9.14285714285714" style="85"/>
    <col min="13347" max="13355" width="4" style="85" customWidth="1"/>
    <col min="13356" max="13356" width="9.14285714285714" style="85"/>
    <col min="13357" max="13365" width="4" style="85" customWidth="1"/>
    <col min="13366" max="13366" width="9.14285714285714" style="85"/>
    <col min="13367" max="13375" width="4" style="85" customWidth="1"/>
    <col min="13376" max="13376" width="9.14285714285714" style="85"/>
    <col min="13377" max="13385" width="4" style="85" customWidth="1"/>
    <col min="13386" max="13582" width="9.14285714285714" style="85"/>
    <col min="13583" max="13584" width="6.42857142857143" style="85" customWidth="1"/>
    <col min="13585" max="13585" width="4" style="85" customWidth="1"/>
    <col min="13586" max="13586" width="6.42857142857143" style="85" customWidth="1"/>
    <col min="13587" max="13588" width="4" style="85" customWidth="1"/>
    <col min="13589" max="13589" width="8.28571428571429" style="85" customWidth="1"/>
    <col min="13590" max="13590" width="27.7142857142857" style="85" customWidth="1"/>
    <col min="13591" max="13591" width="10.4285714285714" style="85" customWidth="1"/>
    <col min="13592" max="13592" width="5.42857142857143" style="85" customWidth="1"/>
    <col min="13593" max="13593" width="7.85714285714286" style="85" customWidth="1"/>
    <col min="13594" max="13594" width="5.42857142857143" style="85" customWidth="1"/>
    <col min="13595" max="13595" width="10.4285714285714" style="85" customWidth="1"/>
    <col min="13596" max="13596" width="4" style="85" customWidth="1"/>
    <col min="13597" max="13597" width="10.4285714285714" style="85" customWidth="1"/>
    <col min="13598" max="13598" width="4" style="85" customWidth="1"/>
    <col min="13599" max="13599" width="11.1428571428571" style="85" customWidth="1"/>
    <col min="13600" max="13601" width="4" style="85" customWidth="1"/>
    <col min="13602" max="13602" width="9.14285714285714" style="85"/>
    <col min="13603" max="13611" width="4" style="85" customWidth="1"/>
    <col min="13612" max="13612" width="9.14285714285714" style="85"/>
    <col min="13613" max="13621" width="4" style="85" customWidth="1"/>
    <col min="13622" max="13622" width="9.14285714285714" style="85"/>
    <col min="13623" max="13631" width="4" style="85" customWidth="1"/>
    <col min="13632" max="13632" width="9.14285714285714" style="85"/>
    <col min="13633" max="13641" width="4" style="85" customWidth="1"/>
    <col min="13642" max="13838" width="9.14285714285714" style="85"/>
    <col min="13839" max="13840" width="6.42857142857143" style="85" customWidth="1"/>
    <col min="13841" max="13841" width="4" style="85" customWidth="1"/>
    <col min="13842" max="13842" width="6.42857142857143" style="85" customWidth="1"/>
    <col min="13843" max="13844" width="4" style="85" customWidth="1"/>
    <col min="13845" max="13845" width="8.28571428571429" style="85" customWidth="1"/>
    <col min="13846" max="13846" width="27.7142857142857" style="85" customWidth="1"/>
    <col min="13847" max="13847" width="10.4285714285714" style="85" customWidth="1"/>
    <col min="13848" max="13848" width="5.42857142857143" style="85" customWidth="1"/>
    <col min="13849" max="13849" width="7.85714285714286" style="85" customWidth="1"/>
    <col min="13850" max="13850" width="5.42857142857143" style="85" customWidth="1"/>
    <col min="13851" max="13851" width="10.4285714285714" style="85" customWidth="1"/>
    <col min="13852" max="13852" width="4" style="85" customWidth="1"/>
    <col min="13853" max="13853" width="10.4285714285714" style="85" customWidth="1"/>
    <col min="13854" max="13854" width="4" style="85" customWidth="1"/>
    <col min="13855" max="13855" width="11.1428571428571" style="85" customWidth="1"/>
    <col min="13856" max="13857" width="4" style="85" customWidth="1"/>
    <col min="13858" max="13858" width="9.14285714285714" style="85"/>
    <col min="13859" max="13867" width="4" style="85" customWidth="1"/>
    <col min="13868" max="13868" width="9.14285714285714" style="85"/>
    <col min="13869" max="13877" width="4" style="85" customWidth="1"/>
    <col min="13878" max="13878" width="9.14285714285714" style="85"/>
    <col min="13879" max="13887" width="4" style="85" customWidth="1"/>
    <col min="13888" max="13888" width="9.14285714285714" style="85"/>
    <col min="13889" max="13897" width="4" style="85" customWidth="1"/>
    <col min="13898" max="14094" width="9.14285714285714" style="85"/>
    <col min="14095" max="14096" width="6.42857142857143" style="85" customWidth="1"/>
    <col min="14097" max="14097" width="4" style="85" customWidth="1"/>
    <col min="14098" max="14098" width="6.42857142857143" style="85" customWidth="1"/>
    <col min="14099" max="14100" width="4" style="85" customWidth="1"/>
    <col min="14101" max="14101" width="8.28571428571429" style="85" customWidth="1"/>
    <col min="14102" max="14102" width="27.7142857142857" style="85" customWidth="1"/>
    <col min="14103" max="14103" width="10.4285714285714" style="85" customWidth="1"/>
    <col min="14104" max="14104" width="5.42857142857143" style="85" customWidth="1"/>
    <col min="14105" max="14105" width="7.85714285714286" style="85" customWidth="1"/>
    <col min="14106" max="14106" width="5.42857142857143" style="85" customWidth="1"/>
    <col min="14107" max="14107" width="10.4285714285714" style="85" customWidth="1"/>
    <col min="14108" max="14108" width="4" style="85" customWidth="1"/>
    <col min="14109" max="14109" width="10.4285714285714" style="85" customWidth="1"/>
    <col min="14110" max="14110" width="4" style="85" customWidth="1"/>
    <col min="14111" max="14111" width="11.1428571428571" style="85" customWidth="1"/>
    <col min="14112" max="14113" width="4" style="85" customWidth="1"/>
    <col min="14114" max="14114" width="9.14285714285714" style="85"/>
    <col min="14115" max="14123" width="4" style="85" customWidth="1"/>
    <col min="14124" max="14124" width="9.14285714285714" style="85"/>
    <col min="14125" max="14133" width="4" style="85" customWidth="1"/>
    <col min="14134" max="14134" width="9.14285714285714" style="85"/>
    <col min="14135" max="14143" width="4" style="85" customWidth="1"/>
    <col min="14144" max="14144" width="9.14285714285714" style="85"/>
    <col min="14145" max="14153" width="4" style="85" customWidth="1"/>
    <col min="14154" max="14350" width="9.14285714285714" style="85"/>
    <col min="14351" max="14352" width="6.42857142857143" style="85" customWidth="1"/>
    <col min="14353" max="14353" width="4" style="85" customWidth="1"/>
    <col min="14354" max="14354" width="6.42857142857143" style="85" customWidth="1"/>
    <col min="14355" max="14356" width="4" style="85" customWidth="1"/>
    <col min="14357" max="14357" width="8.28571428571429" style="85" customWidth="1"/>
    <col min="14358" max="14358" width="27.7142857142857" style="85" customWidth="1"/>
    <col min="14359" max="14359" width="10.4285714285714" style="85" customWidth="1"/>
    <col min="14360" max="14360" width="5.42857142857143" style="85" customWidth="1"/>
    <col min="14361" max="14361" width="7.85714285714286" style="85" customWidth="1"/>
    <col min="14362" max="14362" width="5.42857142857143" style="85" customWidth="1"/>
    <col min="14363" max="14363" width="10.4285714285714" style="85" customWidth="1"/>
    <col min="14364" max="14364" width="4" style="85" customWidth="1"/>
    <col min="14365" max="14365" width="10.4285714285714" style="85" customWidth="1"/>
    <col min="14366" max="14366" width="4" style="85" customWidth="1"/>
    <col min="14367" max="14367" width="11.1428571428571" style="85" customWidth="1"/>
    <col min="14368" max="14369" width="4" style="85" customWidth="1"/>
    <col min="14370" max="14370" width="9.14285714285714" style="85"/>
    <col min="14371" max="14379" width="4" style="85" customWidth="1"/>
    <col min="14380" max="14380" width="9.14285714285714" style="85"/>
    <col min="14381" max="14389" width="4" style="85" customWidth="1"/>
    <col min="14390" max="14390" width="9.14285714285714" style="85"/>
    <col min="14391" max="14399" width="4" style="85" customWidth="1"/>
    <col min="14400" max="14400" width="9.14285714285714" style="85"/>
    <col min="14401" max="14409" width="4" style="85" customWidth="1"/>
    <col min="14410" max="14606" width="9.14285714285714" style="85"/>
    <col min="14607" max="14608" width="6.42857142857143" style="85" customWidth="1"/>
    <col min="14609" max="14609" width="4" style="85" customWidth="1"/>
    <col min="14610" max="14610" width="6.42857142857143" style="85" customWidth="1"/>
    <col min="14611" max="14612" width="4" style="85" customWidth="1"/>
    <col min="14613" max="14613" width="8.28571428571429" style="85" customWidth="1"/>
    <col min="14614" max="14614" width="27.7142857142857" style="85" customWidth="1"/>
    <col min="14615" max="14615" width="10.4285714285714" style="85" customWidth="1"/>
    <col min="14616" max="14616" width="5.42857142857143" style="85" customWidth="1"/>
    <col min="14617" max="14617" width="7.85714285714286" style="85" customWidth="1"/>
    <col min="14618" max="14618" width="5.42857142857143" style="85" customWidth="1"/>
    <col min="14619" max="14619" width="10.4285714285714" style="85" customWidth="1"/>
    <col min="14620" max="14620" width="4" style="85" customWidth="1"/>
    <col min="14621" max="14621" width="10.4285714285714" style="85" customWidth="1"/>
    <col min="14622" max="14622" width="4" style="85" customWidth="1"/>
    <col min="14623" max="14623" width="11.1428571428571" style="85" customWidth="1"/>
    <col min="14624" max="14625" width="4" style="85" customWidth="1"/>
    <col min="14626" max="14626" width="9.14285714285714" style="85"/>
    <col min="14627" max="14635" width="4" style="85" customWidth="1"/>
    <col min="14636" max="14636" width="9.14285714285714" style="85"/>
    <col min="14637" max="14645" width="4" style="85" customWidth="1"/>
    <col min="14646" max="14646" width="9.14285714285714" style="85"/>
    <col min="14647" max="14655" width="4" style="85" customWidth="1"/>
    <col min="14656" max="14656" width="9.14285714285714" style="85"/>
    <col min="14657" max="14665" width="4" style="85" customWidth="1"/>
    <col min="14666" max="14862" width="9.14285714285714" style="85"/>
    <col min="14863" max="14864" width="6.42857142857143" style="85" customWidth="1"/>
    <col min="14865" max="14865" width="4" style="85" customWidth="1"/>
    <col min="14866" max="14866" width="6.42857142857143" style="85" customWidth="1"/>
    <col min="14867" max="14868" width="4" style="85" customWidth="1"/>
    <col min="14869" max="14869" width="8.28571428571429" style="85" customWidth="1"/>
    <col min="14870" max="14870" width="27.7142857142857" style="85" customWidth="1"/>
    <col min="14871" max="14871" width="10.4285714285714" style="85" customWidth="1"/>
    <col min="14872" max="14872" width="5.42857142857143" style="85" customWidth="1"/>
    <col min="14873" max="14873" width="7.85714285714286" style="85" customWidth="1"/>
    <col min="14874" max="14874" width="5.42857142857143" style="85" customWidth="1"/>
    <col min="14875" max="14875" width="10.4285714285714" style="85" customWidth="1"/>
    <col min="14876" max="14876" width="4" style="85" customWidth="1"/>
    <col min="14877" max="14877" width="10.4285714285714" style="85" customWidth="1"/>
    <col min="14878" max="14878" width="4" style="85" customWidth="1"/>
    <col min="14879" max="14879" width="11.1428571428571" style="85" customWidth="1"/>
    <col min="14880" max="14881" width="4" style="85" customWidth="1"/>
    <col min="14882" max="14882" width="9.14285714285714" style="85"/>
    <col min="14883" max="14891" width="4" style="85" customWidth="1"/>
    <col min="14892" max="14892" width="9.14285714285714" style="85"/>
    <col min="14893" max="14901" width="4" style="85" customWidth="1"/>
    <col min="14902" max="14902" width="9.14285714285714" style="85"/>
    <col min="14903" max="14911" width="4" style="85" customWidth="1"/>
    <col min="14912" max="14912" width="9.14285714285714" style="85"/>
    <col min="14913" max="14921" width="4" style="85" customWidth="1"/>
    <col min="14922" max="15118" width="9.14285714285714" style="85"/>
    <col min="15119" max="15120" width="6.42857142857143" style="85" customWidth="1"/>
    <col min="15121" max="15121" width="4" style="85" customWidth="1"/>
    <col min="15122" max="15122" width="6.42857142857143" style="85" customWidth="1"/>
    <col min="15123" max="15124" width="4" style="85" customWidth="1"/>
    <col min="15125" max="15125" width="8.28571428571429" style="85" customWidth="1"/>
    <col min="15126" max="15126" width="27.7142857142857" style="85" customWidth="1"/>
    <col min="15127" max="15127" width="10.4285714285714" style="85" customWidth="1"/>
    <col min="15128" max="15128" width="5.42857142857143" style="85" customWidth="1"/>
    <col min="15129" max="15129" width="7.85714285714286" style="85" customWidth="1"/>
    <col min="15130" max="15130" width="5.42857142857143" style="85" customWidth="1"/>
    <col min="15131" max="15131" width="10.4285714285714" style="85" customWidth="1"/>
    <col min="15132" max="15132" width="4" style="85" customWidth="1"/>
    <col min="15133" max="15133" width="10.4285714285714" style="85" customWidth="1"/>
    <col min="15134" max="15134" width="4" style="85" customWidth="1"/>
    <col min="15135" max="15135" width="11.1428571428571" style="85" customWidth="1"/>
    <col min="15136" max="15137" width="4" style="85" customWidth="1"/>
    <col min="15138" max="15138" width="9.14285714285714" style="85"/>
    <col min="15139" max="15147" width="4" style="85" customWidth="1"/>
    <col min="15148" max="15148" width="9.14285714285714" style="85"/>
    <col min="15149" max="15157" width="4" style="85" customWidth="1"/>
    <col min="15158" max="15158" width="9.14285714285714" style="85"/>
    <col min="15159" max="15167" width="4" style="85" customWidth="1"/>
    <col min="15168" max="15168" width="9.14285714285714" style="85"/>
    <col min="15169" max="15177" width="4" style="85" customWidth="1"/>
    <col min="15178" max="15374" width="9.14285714285714" style="85"/>
    <col min="15375" max="15376" width="6.42857142857143" style="85" customWidth="1"/>
    <col min="15377" max="15377" width="4" style="85" customWidth="1"/>
    <col min="15378" max="15378" width="6.42857142857143" style="85" customWidth="1"/>
    <col min="15379" max="15380" width="4" style="85" customWidth="1"/>
    <col min="15381" max="15381" width="8.28571428571429" style="85" customWidth="1"/>
    <col min="15382" max="15382" width="27.7142857142857" style="85" customWidth="1"/>
    <col min="15383" max="15383" width="10.4285714285714" style="85" customWidth="1"/>
    <col min="15384" max="15384" width="5.42857142857143" style="85" customWidth="1"/>
    <col min="15385" max="15385" width="7.85714285714286" style="85" customWidth="1"/>
    <col min="15386" max="15386" width="5.42857142857143" style="85" customWidth="1"/>
    <col min="15387" max="15387" width="10.4285714285714" style="85" customWidth="1"/>
    <col min="15388" max="15388" width="4" style="85" customWidth="1"/>
    <col min="15389" max="15389" width="10.4285714285714" style="85" customWidth="1"/>
    <col min="15390" max="15390" width="4" style="85" customWidth="1"/>
    <col min="15391" max="15391" width="11.1428571428571" style="85" customWidth="1"/>
    <col min="15392" max="15393" width="4" style="85" customWidth="1"/>
    <col min="15394" max="15394" width="9.14285714285714" style="85"/>
    <col min="15395" max="15403" width="4" style="85" customWidth="1"/>
    <col min="15404" max="15404" width="9.14285714285714" style="85"/>
    <col min="15405" max="15413" width="4" style="85" customWidth="1"/>
    <col min="15414" max="15414" width="9.14285714285714" style="85"/>
    <col min="15415" max="15423" width="4" style="85" customWidth="1"/>
    <col min="15424" max="15424" width="9.14285714285714" style="85"/>
    <col min="15425" max="15433" width="4" style="85" customWidth="1"/>
    <col min="15434" max="15630" width="9.14285714285714" style="85"/>
    <col min="15631" max="15632" width="6.42857142857143" style="85" customWidth="1"/>
    <col min="15633" max="15633" width="4" style="85" customWidth="1"/>
    <col min="15634" max="15634" width="6.42857142857143" style="85" customWidth="1"/>
    <col min="15635" max="15636" width="4" style="85" customWidth="1"/>
    <col min="15637" max="15637" width="8.28571428571429" style="85" customWidth="1"/>
    <col min="15638" max="15638" width="27.7142857142857" style="85" customWidth="1"/>
    <col min="15639" max="15639" width="10.4285714285714" style="85" customWidth="1"/>
    <col min="15640" max="15640" width="5.42857142857143" style="85" customWidth="1"/>
    <col min="15641" max="15641" width="7.85714285714286" style="85" customWidth="1"/>
    <col min="15642" max="15642" width="5.42857142857143" style="85" customWidth="1"/>
    <col min="15643" max="15643" width="10.4285714285714" style="85" customWidth="1"/>
    <col min="15644" max="15644" width="4" style="85" customWidth="1"/>
    <col min="15645" max="15645" width="10.4285714285714" style="85" customWidth="1"/>
    <col min="15646" max="15646" width="4" style="85" customWidth="1"/>
    <col min="15647" max="15647" width="11.1428571428571" style="85" customWidth="1"/>
    <col min="15648" max="15649" width="4" style="85" customWidth="1"/>
    <col min="15650" max="15650" width="9.14285714285714" style="85"/>
    <col min="15651" max="15659" width="4" style="85" customWidth="1"/>
    <col min="15660" max="15660" width="9.14285714285714" style="85"/>
    <col min="15661" max="15669" width="4" style="85" customWidth="1"/>
    <col min="15670" max="15670" width="9.14285714285714" style="85"/>
    <col min="15671" max="15679" width="4" style="85" customWidth="1"/>
    <col min="15680" max="15680" width="9.14285714285714" style="85"/>
    <col min="15681" max="15689" width="4" style="85" customWidth="1"/>
    <col min="15690" max="15886" width="9.14285714285714" style="85"/>
    <col min="15887" max="15888" width="6.42857142857143" style="85" customWidth="1"/>
    <col min="15889" max="15889" width="4" style="85" customWidth="1"/>
    <col min="15890" max="15890" width="6.42857142857143" style="85" customWidth="1"/>
    <col min="15891" max="15892" width="4" style="85" customWidth="1"/>
    <col min="15893" max="15893" width="8.28571428571429" style="85" customWidth="1"/>
    <col min="15894" max="15894" width="27.7142857142857" style="85" customWidth="1"/>
    <col min="15895" max="15895" width="10.4285714285714" style="85" customWidth="1"/>
    <col min="15896" max="15896" width="5.42857142857143" style="85" customWidth="1"/>
    <col min="15897" max="15897" width="7.85714285714286" style="85" customWidth="1"/>
    <col min="15898" max="15898" width="5.42857142857143" style="85" customWidth="1"/>
    <col min="15899" max="15899" width="10.4285714285714" style="85" customWidth="1"/>
    <col min="15900" max="15900" width="4" style="85" customWidth="1"/>
    <col min="15901" max="15901" width="10.4285714285714" style="85" customWidth="1"/>
    <col min="15902" max="15902" width="4" style="85" customWidth="1"/>
    <col min="15903" max="15903" width="11.1428571428571" style="85" customWidth="1"/>
    <col min="15904" max="15905" width="4" style="85" customWidth="1"/>
    <col min="15906" max="15906" width="9.14285714285714" style="85"/>
    <col min="15907" max="15915" width="4" style="85" customWidth="1"/>
    <col min="15916" max="15916" width="9.14285714285714" style="85"/>
    <col min="15917" max="15925" width="4" style="85" customWidth="1"/>
    <col min="15926" max="15926" width="9.14285714285714" style="85"/>
    <col min="15927" max="15935" width="4" style="85" customWidth="1"/>
    <col min="15936" max="15936" width="9.14285714285714" style="85"/>
    <col min="15937" max="15945" width="4" style="85" customWidth="1"/>
    <col min="15946" max="16142" width="9.14285714285714" style="85"/>
    <col min="16143" max="16144" width="6.42857142857143" style="85" customWidth="1"/>
    <col min="16145" max="16145" width="4" style="85" customWidth="1"/>
    <col min="16146" max="16146" width="6.42857142857143" style="85" customWidth="1"/>
    <col min="16147" max="16148" width="4" style="85" customWidth="1"/>
    <col min="16149" max="16149" width="8.28571428571429" style="85" customWidth="1"/>
    <col min="16150" max="16150" width="27.7142857142857" style="85" customWidth="1"/>
    <col min="16151" max="16151" width="10.4285714285714" style="85" customWidth="1"/>
    <col min="16152" max="16152" width="5.42857142857143" style="85" customWidth="1"/>
    <col min="16153" max="16153" width="7.85714285714286" style="85" customWidth="1"/>
    <col min="16154" max="16154" width="5.42857142857143" style="85" customWidth="1"/>
    <col min="16155" max="16155" width="10.4285714285714" style="85" customWidth="1"/>
    <col min="16156" max="16156" width="4" style="85" customWidth="1"/>
    <col min="16157" max="16157" width="10.4285714285714" style="85" customWidth="1"/>
    <col min="16158" max="16158" width="4" style="85" customWidth="1"/>
    <col min="16159" max="16159" width="11.1428571428571" style="85" customWidth="1"/>
    <col min="16160" max="16161" width="4" style="85" customWidth="1"/>
    <col min="16162" max="16162" width="9.14285714285714" style="85"/>
    <col min="16163" max="16171" width="4" style="85" customWidth="1"/>
    <col min="16172" max="16172" width="9.14285714285714" style="85"/>
    <col min="16173" max="16181" width="4" style="85" customWidth="1"/>
    <col min="16182" max="16182" width="9.14285714285714" style="85"/>
    <col min="16183" max="16191" width="4" style="85" customWidth="1"/>
    <col min="16192" max="16192" width="9.14285714285714" style="85"/>
    <col min="16193" max="16201" width="4" style="85" customWidth="1"/>
    <col min="16202" max="16384" width="9.14285714285714" style="85"/>
  </cols>
  <sheetData>
    <row r="5" spans="15:65">
      <c r="O5" s="172">
        <v>1</v>
      </c>
      <c r="Y5" s="172"/>
      <c r="AI5" s="172"/>
      <c r="AS5" s="172"/>
      <c r="BC5" s="172"/>
      <c r="BM5" s="172"/>
    </row>
    <row r="6" spans="5:30">
      <c r="E6" s="85">
        <v>1</v>
      </c>
      <c r="F6" s="85">
        <v>17</v>
      </c>
      <c r="G6" s="85">
        <v>6</v>
      </c>
      <c r="H6" s="85">
        <v>18</v>
      </c>
      <c r="I6" s="85">
        <v>9</v>
      </c>
      <c r="J6" s="85">
        <v>19</v>
      </c>
      <c r="K6" s="85">
        <v>12</v>
      </c>
      <c r="L6" s="85">
        <v>20</v>
      </c>
      <c r="M6" s="85">
        <v>15</v>
      </c>
      <c r="O6" s="85">
        <f>INDEX([1]tblIndiSets!$B$5:$B$10,O5)</f>
        <v>1</v>
      </c>
      <c r="U6" s="85" t="str">
        <f>INDEX([1]tblIndiSets!$C$5:$C$10,O5)</f>
        <v>OVERALL SCORE</v>
      </c>
      <c r="V6" s="85">
        <v>1</v>
      </c>
      <c r="W6" s="85">
        <v>2</v>
      </c>
      <c r="X6" s="85">
        <v>3</v>
      </c>
      <c r="Y6" s="85">
        <v>4</v>
      </c>
      <c r="Z6" s="85">
        <v>5</v>
      </c>
      <c r="AA6" s="85">
        <v>6</v>
      </c>
      <c r="AB6" s="85">
        <v>7</v>
      </c>
      <c r="AC6" s="85">
        <v>8</v>
      </c>
      <c r="AD6" s="85">
        <v>9</v>
      </c>
    </row>
    <row r="7" spans="3:73">
      <c r="C7" s="85" t="s">
        <v>1618</v>
      </c>
      <c r="E7" s="85" t="s">
        <v>1619</v>
      </c>
      <c r="F7" s="85" t="s">
        <v>1620</v>
      </c>
      <c r="G7" s="85" t="s">
        <v>1621</v>
      </c>
      <c r="H7" s="85" t="s">
        <v>1622</v>
      </c>
      <c r="I7" s="85" t="s">
        <v>1623</v>
      </c>
      <c r="O7" s="85" t="s">
        <v>376</v>
      </c>
      <c r="P7" s="85" t="s">
        <v>403</v>
      </c>
      <c r="Q7" s="85" t="s">
        <v>404</v>
      </c>
      <c r="R7" s="85" t="s">
        <v>403</v>
      </c>
      <c r="V7" s="85" t="s">
        <v>1619</v>
      </c>
      <c r="W7" s="85" t="s">
        <v>1620</v>
      </c>
      <c r="X7" s="85" t="s">
        <v>1621</v>
      </c>
      <c r="Y7" s="85" t="s">
        <v>1624</v>
      </c>
      <c r="Z7" s="85" t="s">
        <v>1623</v>
      </c>
      <c r="AA7" s="85" t="s">
        <v>1625</v>
      </c>
      <c r="AB7" s="85" t="s">
        <v>1626</v>
      </c>
      <c r="AC7" s="85" t="s">
        <v>1627</v>
      </c>
      <c r="AD7" s="85" t="s">
        <v>1621</v>
      </c>
      <c r="AE7" s="85" t="s">
        <v>1628</v>
      </c>
      <c r="AG7" s="165"/>
      <c r="AQ7" s="165"/>
      <c r="BA7" s="165"/>
      <c r="BK7" s="165"/>
      <c r="BU7" s="165"/>
    </row>
    <row r="8" spans="1:73">
      <c r="A8" s="85">
        <f>tblCategories!A3</f>
        <v>1</v>
      </c>
      <c r="B8" s="85" t="str">
        <f>tblCategories!D3</f>
        <v>1.1.1) Privacy policy</v>
      </c>
      <c r="C8" s="85">
        <f>tblCategories!F3</f>
        <v>1</v>
      </c>
      <c r="D8" s="85">
        <v>1</v>
      </c>
      <c r="E8" s="85" t="str">
        <f>INDEX(iCityP_Charts!$N$8:$BE$27,E$6,iCompare!$A8)</f>
        <v>1.1.1) Privacy policy</v>
      </c>
      <c r="F8" s="85">
        <f>INDEX(iCityP_Charts!$N$8:$CP$27,F$6,iCompare!$A8)</f>
        <v>4</v>
      </c>
      <c r="G8" s="85" t="str">
        <f>INDEX(iCityP_Charts!$N$8:$CP$27,G$6,iCompare!$A8)</f>
        <v>x</v>
      </c>
      <c r="H8" s="85">
        <f>INDEX(iCityP_Charts!$N$8:$CP$27,H$6,iCompare!$A8)</f>
        <v>3</v>
      </c>
      <c r="I8" s="85" t="str">
        <f>INDEX(iCityP_Charts!$N$8:$CP$27,I$6,iCompare!$A8)</f>
        <v>x</v>
      </c>
      <c r="O8" s="85">
        <f>IF($C8=0,"",(INDEX($D$8:$I$51,$A8,O$6)))</f>
        <v>1</v>
      </c>
      <c r="P8" s="85">
        <f>IF($C8=0,"",RANK(O8,O$8:O$51,1)+COUNTIF(O$8:O8,O8)-1)</f>
        <v>1</v>
      </c>
      <c r="Q8" s="85">
        <f>IF(ISERROR(MATCH($A8,P$8:P$51,0)),"",MATCH($A8,P$8:P$51,0))</f>
        <v>1</v>
      </c>
      <c r="R8" s="173">
        <f>IF(Q8="","",RANK(W8,W$8:W$51,0))</f>
        <v>2</v>
      </c>
      <c r="S8" s="173">
        <f>IF(Q8="","",COUNTIF(W$8:W$51,W8))</f>
        <v>1</v>
      </c>
      <c r="T8" s="173">
        <f>IF(Q8="",0,INDEX($D$8:$D$51,Q8))</f>
        <v>1</v>
      </c>
      <c r="U8" s="165">
        <f>IF(Q8="","",IF(S8&gt;1,CONCATENATE("=",R8),R8))</f>
        <v>2</v>
      </c>
      <c r="V8" s="85" t="str">
        <f>IF($Q8="","",INDEX($E$8:$I$51,$Q8,V$6))</f>
        <v>1.1.1) Privacy policy</v>
      </c>
      <c r="W8" s="85">
        <f>IF($Q8="","",INDEX($E$8:$I$51,$Q8,W$6))</f>
        <v>4</v>
      </c>
      <c r="X8" s="85" t="str">
        <f>IF($Q8="","",INDEX($E$8:$I$51,$Q8,X$6))</f>
        <v>x</v>
      </c>
      <c r="Y8" s="85">
        <f>IF($Q8="","",INDEX($E$8:$I$51,$Q8,Y$6))</f>
        <v>3</v>
      </c>
      <c r="Z8" s="85" t="str">
        <f>IF($Q8="","",INDEX($E$8:$I$51,$Q8,Z$6))</f>
        <v>x</v>
      </c>
      <c r="AE8" s="166">
        <f>IF(T8=0,"",INDEX(tblIndiSets!$E$192:$E$234,iCompare!T8))</f>
        <v>0</v>
      </c>
      <c r="AG8" s="174"/>
      <c r="AL8" s="173"/>
      <c r="AM8" s="173"/>
      <c r="AN8" s="173"/>
      <c r="AO8" s="165"/>
      <c r="AQ8" s="174"/>
      <c r="AV8" s="173"/>
      <c r="AW8" s="173"/>
      <c r="AX8" s="173"/>
      <c r="AY8" s="165"/>
      <c r="BA8" s="174"/>
      <c r="BF8" s="173"/>
      <c r="BG8" s="173"/>
      <c r="BH8" s="173"/>
      <c r="BI8" s="165"/>
      <c r="BK8" s="174"/>
      <c r="BP8" s="173"/>
      <c r="BQ8" s="173"/>
      <c r="BR8" s="173"/>
      <c r="BS8" s="165"/>
      <c r="BU8" s="174"/>
    </row>
    <row r="9" spans="1:73">
      <c r="A9" s="85">
        <f>tblCategories!A4</f>
        <v>2</v>
      </c>
      <c r="B9" s="85" t="str">
        <f>tblCategories!D4</f>
        <v>1.1.2) Citizen awareness of digital threats</v>
      </c>
      <c r="C9" s="85">
        <f>tblCategories!F4</f>
        <v>1</v>
      </c>
      <c r="D9" s="85">
        <v>1</v>
      </c>
      <c r="E9" s="85" t="str">
        <f>INDEX(iCityP_Charts!$N$8:$BE$27,E$6,iCompare!$A9)</f>
        <v>1.1.2) Citizen awareness of digital threats</v>
      </c>
      <c r="F9" s="85">
        <f>INDEX(iCityP_Charts!$N$8:$CP$27,F$6,iCompare!$A9)</f>
        <v>2</v>
      </c>
      <c r="G9" s="85" t="str">
        <f>INDEX(iCityP_Charts!$N$8:$CP$27,G$6,iCompare!$A9)</f>
        <v>*</v>
      </c>
      <c r="H9" s="85">
        <f>INDEX(iCityP_Charts!$N$8:$CP$27,H$6,iCompare!$A9)</f>
        <v>0</v>
      </c>
      <c r="I9" s="85" t="str">
        <f>INDEX(iCityP_Charts!$N$8:$CP$27,I$6,iCompare!$A9)</f>
        <v>x</v>
      </c>
      <c r="O9" s="85">
        <f t="shared" ref="O9:O51" si="0">IF($C9=0,"",(INDEX($D$8:$I$51,$A9,O$6)))</f>
        <v>1</v>
      </c>
      <c r="P9" s="85">
        <f>IF($C9=0,"",RANK(O9,O$8:O$51,1)+COUNTIF(O$8:O9,O9)-1)</f>
        <v>2</v>
      </c>
      <c r="Q9" s="85">
        <f t="shared" ref="Q9:Q51" si="1">IF(ISERROR(MATCH($A9,P$8:P$51,0)),"",MATCH($A9,P$8:P$51,0))</f>
        <v>2</v>
      </c>
      <c r="R9" s="173">
        <f t="shared" ref="R9:R51" si="2">IF(Q9="","",RANK(W9,W$8:W$51,0))</f>
        <v>4</v>
      </c>
      <c r="S9" s="173">
        <f t="shared" ref="S9:S51" si="3">IF(Q9="","",COUNTIF(W$8:W$51,W9))</f>
        <v>2</v>
      </c>
      <c r="T9" s="173">
        <f t="shared" ref="T9:T51" si="4">IF(Q9="",0,INDEX($D$8:$D$51,Q9))</f>
        <v>1</v>
      </c>
      <c r="U9" s="165" t="str">
        <f t="shared" ref="U9:U51" si="5">IF(Q9="","",IF(S9&gt;1,CONCATENATE("=",R9),R9))</f>
        <v>=4</v>
      </c>
      <c r="V9" s="85" t="str">
        <f t="shared" ref="V9:Z51" si="6">IF($Q9="","",INDEX($E$8:$I$51,$Q9,V$6))</f>
        <v>1.1.2) Citizen awareness of digital threats</v>
      </c>
      <c r="W9" s="85">
        <f t="shared" si="6"/>
        <v>2</v>
      </c>
      <c r="X9" s="85" t="str">
        <f t="shared" si="6"/>
        <v>*</v>
      </c>
      <c r="Y9" s="85">
        <f t="shared" si="6"/>
        <v>0</v>
      </c>
      <c r="Z9" s="85" t="str">
        <f t="shared" si="6"/>
        <v>x</v>
      </c>
      <c r="AE9" s="166">
        <f>IF(T9=0,"",INDEX(tblIndiSets!$E$192:$E$234,iCompare!T9))</f>
        <v>0</v>
      </c>
      <c r="AG9" s="174"/>
      <c r="AL9" s="173"/>
      <c r="AM9" s="173"/>
      <c r="AN9" s="173"/>
      <c r="AO9" s="165"/>
      <c r="AQ9" s="174"/>
      <c r="AV9" s="173"/>
      <c r="AW9" s="173"/>
      <c r="AX9" s="173"/>
      <c r="AY9" s="165"/>
      <c r="BA9" s="174"/>
      <c r="BF9" s="173"/>
      <c r="BG9" s="173"/>
      <c r="BH9" s="173"/>
      <c r="BI9" s="165"/>
      <c r="BK9" s="174"/>
      <c r="BP9" s="173"/>
      <c r="BQ9" s="173"/>
      <c r="BR9" s="173"/>
      <c r="BS9" s="165"/>
      <c r="BU9" s="174"/>
    </row>
    <row r="10" spans="1:73">
      <c r="A10" s="85">
        <f>tblCategories!A5</f>
        <v>3</v>
      </c>
      <c r="B10" s="85" t="str">
        <f>tblCategories!D5</f>
        <v>1.1.3) City reliance on digital infrastructure</v>
      </c>
      <c r="C10" s="85">
        <f>tblCategories!F5</f>
        <v>1</v>
      </c>
      <c r="D10" s="85">
        <v>1</v>
      </c>
      <c r="E10" s="85" t="str">
        <f>INDEX(iCityP_Charts!$N$8:$BE$27,E$6,iCompare!$A10)</f>
        <v>1.1.3) City reliance on digital infrastructure</v>
      </c>
      <c r="F10" s="85">
        <f>INDEX(iCityP_Charts!$N$8:$CP$27,F$6,iCompare!$A10)</f>
        <v>0</v>
      </c>
      <c r="G10" s="85" t="str">
        <f>INDEX(iCityP_Charts!$N$8:$CP$27,G$6,iCompare!$A10)</f>
        <v>*</v>
      </c>
      <c r="H10" s="85">
        <f>INDEX(iCityP_Charts!$N$8:$CP$27,H$6,iCompare!$A10)</f>
        <v>0</v>
      </c>
      <c r="I10" s="85" t="str">
        <f>INDEX(iCityP_Charts!$N$8:$CP$27,I$6,iCompare!$A10)</f>
        <v>*</v>
      </c>
      <c r="O10" s="85">
        <f t="shared" si="0"/>
        <v>1</v>
      </c>
      <c r="P10" s="85">
        <f>IF($C10=0,"",RANK(O10,O$8:O$51,1)+COUNTIF(O$8:O10,O10)-1)</f>
        <v>3</v>
      </c>
      <c r="Q10" s="85">
        <f t="shared" si="1"/>
        <v>3</v>
      </c>
      <c r="R10" s="173">
        <f t="shared" si="2"/>
        <v>9</v>
      </c>
      <c r="S10" s="173">
        <f t="shared" si="3"/>
        <v>1</v>
      </c>
      <c r="T10" s="173">
        <f t="shared" si="4"/>
        <v>1</v>
      </c>
      <c r="U10" s="165">
        <f t="shared" si="5"/>
        <v>9</v>
      </c>
      <c r="V10" s="85" t="str">
        <f t="shared" si="6"/>
        <v>1.1.3) City reliance on digital infrastructure</v>
      </c>
      <c r="W10" s="85">
        <f t="shared" si="6"/>
        <v>0</v>
      </c>
      <c r="X10" s="85" t="str">
        <f t="shared" si="6"/>
        <v>*</v>
      </c>
      <c r="Y10" s="85">
        <f t="shared" si="6"/>
        <v>0</v>
      </c>
      <c r="Z10" s="85" t="str">
        <f t="shared" si="6"/>
        <v>*</v>
      </c>
      <c r="AE10" s="166">
        <f>IF(T10=0,"",INDEX(tblIndiSets!$E$192:$E$234,iCompare!T10))</f>
        <v>0</v>
      </c>
      <c r="AG10" s="174"/>
      <c r="AL10" s="173"/>
      <c r="AM10" s="173"/>
      <c r="AN10" s="173"/>
      <c r="AO10" s="165"/>
      <c r="AQ10" s="174"/>
      <c r="AV10" s="173"/>
      <c r="AW10" s="173"/>
      <c r="AX10" s="173"/>
      <c r="AY10" s="165"/>
      <c r="BA10" s="174"/>
      <c r="BF10" s="173"/>
      <c r="BG10" s="173"/>
      <c r="BH10" s="173"/>
      <c r="BI10" s="165"/>
      <c r="BK10" s="174"/>
      <c r="BP10" s="173"/>
      <c r="BQ10" s="173"/>
      <c r="BR10" s="173"/>
      <c r="BS10" s="165"/>
      <c r="BU10" s="174"/>
    </row>
    <row r="11" spans="1:73">
      <c r="A11" s="85">
        <f>tblCategories!A6</f>
        <v>4</v>
      </c>
      <c r="B11" s="85" t="str">
        <f>tblCategories!D6</f>
        <v>1.1.4) Public-private partnerships</v>
      </c>
      <c r="C11" s="85">
        <f>tblCategories!F6</f>
        <v>1</v>
      </c>
      <c r="D11" s="85">
        <v>1</v>
      </c>
      <c r="E11" s="85" t="str">
        <f>INDEX(iCityP_Charts!$N$8:$BE$27,E$6,iCompare!$A11)</f>
        <v>1.1.4) Public-private partnerships</v>
      </c>
      <c r="F11" s="85">
        <f>INDEX(iCityP_Charts!$N$8:$CP$27,F$6,iCompare!$A11)</f>
        <v>1</v>
      </c>
      <c r="G11" s="85" t="str">
        <f>INDEX(iCityP_Charts!$N$8:$CP$27,G$6,iCompare!$A11)</f>
        <v>*</v>
      </c>
      <c r="H11" s="85">
        <f>INDEX(iCityP_Charts!$N$8:$CP$27,H$6,iCompare!$A11)</f>
        <v>1</v>
      </c>
      <c r="I11" s="85" t="str">
        <f>INDEX(iCityP_Charts!$N$8:$CP$27,I$6,iCompare!$A11)</f>
        <v>*</v>
      </c>
      <c r="O11" s="85">
        <f t="shared" si="0"/>
        <v>1</v>
      </c>
      <c r="P11" s="85">
        <f>IF($C11=0,"",RANK(O11,O$8:O$51,1)+COUNTIF(O$8:O11,O11)-1)</f>
        <v>4</v>
      </c>
      <c r="Q11" s="85">
        <f t="shared" si="1"/>
        <v>4</v>
      </c>
      <c r="R11" s="173">
        <f t="shared" si="2"/>
        <v>6</v>
      </c>
      <c r="S11" s="173">
        <f t="shared" si="3"/>
        <v>1</v>
      </c>
      <c r="T11" s="173">
        <f t="shared" si="4"/>
        <v>1</v>
      </c>
      <c r="U11" s="165">
        <f t="shared" si="5"/>
        <v>6</v>
      </c>
      <c r="V11" s="85" t="str">
        <f t="shared" si="6"/>
        <v>1.1.4) Public-private partnerships</v>
      </c>
      <c r="W11" s="85">
        <f t="shared" si="6"/>
        <v>1</v>
      </c>
      <c r="X11" s="85" t="str">
        <f t="shared" si="6"/>
        <v>*</v>
      </c>
      <c r="Y11" s="85">
        <f t="shared" si="6"/>
        <v>1</v>
      </c>
      <c r="Z11" s="85" t="str">
        <f t="shared" si="6"/>
        <v>*</v>
      </c>
      <c r="AE11" s="166">
        <f>IF(T11=0,"",INDEX(tblIndiSets!$E$192:$E$234,iCompare!T11))</f>
        <v>0</v>
      </c>
      <c r="AG11" s="174"/>
      <c r="AL11" s="173"/>
      <c r="AM11" s="173"/>
      <c r="AN11" s="173"/>
      <c r="AO11" s="165"/>
      <c r="AQ11" s="174"/>
      <c r="AV11" s="173"/>
      <c r="AW11" s="173"/>
      <c r="AX11" s="173"/>
      <c r="AY11" s="165"/>
      <c r="BA11" s="174"/>
      <c r="BF11" s="173"/>
      <c r="BG11" s="173"/>
      <c r="BH11" s="173"/>
      <c r="BI11" s="165"/>
      <c r="BK11" s="174"/>
      <c r="BP11" s="173"/>
      <c r="BQ11" s="173"/>
      <c r="BR11" s="173"/>
      <c r="BS11" s="165"/>
      <c r="BU11" s="174"/>
    </row>
    <row r="12" spans="1:73">
      <c r="A12" s="85">
        <f>tblCategories!A7</f>
        <v>5</v>
      </c>
      <c r="B12" s="85" t="str">
        <f>tblCategories!D7</f>
        <v>1.1.5) Level of technology employed</v>
      </c>
      <c r="C12" s="85">
        <f>tblCategories!F7</f>
        <v>1</v>
      </c>
      <c r="D12" s="85">
        <v>1</v>
      </c>
      <c r="E12" s="85" t="str">
        <f>INDEX(iCityP_Charts!$N$8:$BE$27,E$6,iCompare!$A12)</f>
        <v>1.1.5) Level of technology employed</v>
      </c>
      <c r="F12" s="85">
        <f>INDEX(iCityP_Charts!$N$8:$CP$27,F$6,iCompare!$A12)</f>
        <v>100</v>
      </c>
      <c r="G12" s="85" t="str">
        <f>INDEX(iCityP_Charts!$N$8:$CP$27,G$6,iCompare!$A12)</f>
        <v>*</v>
      </c>
      <c r="H12" s="85">
        <f>INDEX(iCityP_Charts!$N$8:$CP$27,H$6,iCompare!$A12)</f>
        <v>100</v>
      </c>
      <c r="I12" s="85" t="str">
        <f>INDEX(iCityP_Charts!$N$8:$CP$27,I$6,iCompare!$A12)</f>
        <v>*</v>
      </c>
      <c r="O12" s="85">
        <f t="shared" si="0"/>
        <v>1</v>
      </c>
      <c r="P12" s="85">
        <f>IF($C12=0,"",RANK(O12,O$8:O$51,1)+COUNTIF(O$8:O12,O12)-1)</f>
        <v>5</v>
      </c>
      <c r="Q12" s="85">
        <f t="shared" si="1"/>
        <v>5</v>
      </c>
      <c r="R12" s="173">
        <f t="shared" si="2"/>
        <v>1</v>
      </c>
      <c r="S12" s="173">
        <f t="shared" si="3"/>
        <v>1</v>
      </c>
      <c r="T12" s="173">
        <f t="shared" si="4"/>
        <v>1</v>
      </c>
      <c r="U12" s="165">
        <f t="shared" si="5"/>
        <v>1</v>
      </c>
      <c r="V12" s="85" t="str">
        <f t="shared" si="6"/>
        <v>1.1.5) Level of technology employed</v>
      </c>
      <c r="W12" s="85">
        <f t="shared" si="6"/>
        <v>100</v>
      </c>
      <c r="X12" s="85" t="str">
        <f t="shared" si="6"/>
        <v>*</v>
      </c>
      <c r="Y12" s="85">
        <f t="shared" si="6"/>
        <v>100</v>
      </c>
      <c r="Z12" s="85" t="str">
        <f t="shared" si="6"/>
        <v>*</v>
      </c>
      <c r="AE12" s="166">
        <f>IF(T12=0,"",INDEX(tblIndiSets!$E$192:$E$234,iCompare!T12))</f>
        <v>0</v>
      </c>
      <c r="AG12" s="174"/>
      <c r="AL12" s="173"/>
      <c r="AM12" s="173"/>
      <c r="AN12" s="173"/>
      <c r="AO12" s="165"/>
      <c r="AQ12" s="174"/>
      <c r="AV12" s="173"/>
      <c r="AW12" s="173"/>
      <c r="AX12" s="173"/>
      <c r="AY12" s="165"/>
      <c r="BA12" s="174"/>
      <c r="BF12" s="173"/>
      <c r="BG12" s="173"/>
      <c r="BH12" s="173"/>
      <c r="BI12" s="165"/>
      <c r="BK12" s="174"/>
      <c r="BP12" s="173"/>
      <c r="BQ12" s="173"/>
      <c r="BR12" s="173"/>
      <c r="BS12" s="165"/>
      <c r="BU12" s="174"/>
    </row>
    <row r="13" spans="1:73">
      <c r="A13" s="85">
        <f>tblCategories!A8</f>
        <v>6</v>
      </c>
      <c r="B13" s="85" t="str">
        <f>tblCategories!D8</f>
        <v>1.1.6) Dedicated cyber security teams</v>
      </c>
      <c r="C13" s="85">
        <f>tblCategories!F8</f>
        <v>1</v>
      </c>
      <c r="D13" s="85">
        <v>1</v>
      </c>
      <c r="E13" s="85" t="str">
        <f>INDEX(iCityP_Charts!$N$8:$BE$27,E$6,iCompare!$A13)</f>
        <v>1.1.6) Dedicated cyber security teams</v>
      </c>
      <c r="F13" s="85">
        <f>INDEX(iCityP_Charts!$N$8:$CP$27,F$6,iCompare!$A13)</f>
        <v>2</v>
      </c>
      <c r="G13" s="85" t="str">
        <f>INDEX(iCityP_Charts!$N$8:$CP$27,G$6,iCompare!$A13)</f>
        <v>*</v>
      </c>
      <c r="H13" s="85">
        <f>INDEX(iCityP_Charts!$N$8:$CP$27,H$6,iCompare!$A13)</f>
        <v>1</v>
      </c>
      <c r="I13" s="85" t="str">
        <f>INDEX(iCityP_Charts!$N$8:$CP$27,I$6,iCompare!$A13)</f>
        <v/>
      </c>
      <c r="O13" s="85">
        <f t="shared" si="0"/>
        <v>1</v>
      </c>
      <c r="P13" s="85">
        <f>IF($C13=0,"",RANK(O13,O$8:O$51,1)+COUNTIF(O$8:O13,O13)-1)</f>
        <v>6</v>
      </c>
      <c r="Q13" s="85">
        <f t="shared" si="1"/>
        <v>6</v>
      </c>
      <c r="R13" s="173">
        <f t="shared" si="2"/>
        <v>4</v>
      </c>
      <c r="S13" s="173">
        <f t="shared" si="3"/>
        <v>2</v>
      </c>
      <c r="T13" s="173">
        <f t="shared" si="4"/>
        <v>1</v>
      </c>
      <c r="U13" s="165" t="str">
        <f t="shared" si="5"/>
        <v>=4</v>
      </c>
      <c r="V13" s="85" t="str">
        <f t="shared" si="6"/>
        <v>1.1.6) Dedicated cyber security teams</v>
      </c>
      <c r="W13" s="85">
        <f t="shared" si="6"/>
        <v>2</v>
      </c>
      <c r="X13" s="85" t="str">
        <f t="shared" si="6"/>
        <v>*</v>
      </c>
      <c r="Y13" s="85">
        <f t="shared" si="6"/>
        <v>1</v>
      </c>
      <c r="Z13" s="85" t="str">
        <f t="shared" si="6"/>
        <v/>
      </c>
      <c r="AE13" s="166">
        <f>IF(T13=0,"",INDEX(tblIndiSets!$E$192:$E$234,iCompare!T13))</f>
        <v>0</v>
      </c>
      <c r="AG13" s="174"/>
      <c r="AL13" s="173"/>
      <c r="AM13" s="173"/>
      <c r="AN13" s="173"/>
      <c r="AO13" s="165"/>
      <c r="AQ13" s="174"/>
      <c r="AV13" s="173"/>
      <c r="AW13" s="173"/>
      <c r="AX13" s="173"/>
      <c r="AY13" s="165"/>
      <c r="BA13" s="174"/>
      <c r="BF13" s="173"/>
      <c r="BG13" s="173"/>
      <c r="BH13" s="173"/>
      <c r="BI13" s="165"/>
      <c r="BK13" s="174"/>
      <c r="BP13" s="173"/>
      <c r="BQ13" s="173"/>
      <c r="BR13" s="173"/>
      <c r="BS13" s="165"/>
      <c r="BU13" s="174"/>
    </row>
    <row r="14" spans="1:73">
      <c r="A14" s="85">
        <f>tblCategories!A9</f>
        <v>7</v>
      </c>
      <c r="B14" s="85" t="str">
        <f>tblCategories!D9</f>
        <v>1.2.1) Frequency of identity theft</v>
      </c>
      <c r="C14" s="85">
        <f>tblCategories!F9</f>
        <v>1</v>
      </c>
      <c r="D14" s="85">
        <v>1</v>
      </c>
      <c r="E14" s="85" t="str">
        <f>INDEX(iCityP_Charts!$N$8:$BE$27,E$6,iCompare!$A14)</f>
        <v>1.2.1) Frequency of identity theft</v>
      </c>
      <c r="F14" s="85">
        <f>INDEX(iCityP_Charts!$N$8:$CP$27,F$6,iCompare!$A14)</f>
        <v>0.5</v>
      </c>
      <c r="G14" s="85" t="str">
        <f>INDEX(iCityP_Charts!$N$8:$CP$27,G$6,iCompare!$A14)</f>
        <v/>
      </c>
      <c r="H14" s="85">
        <f>INDEX(iCityP_Charts!$N$8:$CP$27,H$6,iCompare!$A14)</f>
        <v>1</v>
      </c>
      <c r="I14" s="85" t="str">
        <f>INDEX(iCityP_Charts!$N$8:$CP$27,I$6,iCompare!$A14)</f>
        <v/>
      </c>
      <c r="O14" s="85">
        <f t="shared" si="0"/>
        <v>1</v>
      </c>
      <c r="P14" s="85">
        <f>IF($C14=0,"",RANK(O14,O$8:O$51,1)+COUNTIF(O$8:O14,O14)-1)</f>
        <v>7</v>
      </c>
      <c r="Q14" s="85">
        <f t="shared" si="1"/>
        <v>7</v>
      </c>
      <c r="R14" s="173">
        <f t="shared" si="2"/>
        <v>8</v>
      </c>
      <c r="S14" s="173">
        <f t="shared" si="3"/>
        <v>1</v>
      </c>
      <c r="T14" s="173">
        <f t="shared" si="4"/>
        <v>1</v>
      </c>
      <c r="U14" s="165">
        <f t="shared" si="5"/>
        <v>8</v>
      </c>
      <c r="V14" s="85" t="str">
        <f t="shared" si="6"/>
        <v>1.2.1) Frequency of identity theft</v>
      </c>
      <c r="W14" s="85">
        <f t="shared" si="6"/>
        <v>0.5</v>
      </c>
      <c r="X14" s="85" t="str">
        <f t="shared" si="6"/>
        <v/>
      </c>
      <c r="Y14" s="85">
        <f t="shared" si="6"/>
        <v>1</v>
      </c>
      <c r="Z14" s="85" t="str">
        <f t="shared" si="6"/>
        <v/>
      </c>
      <c r="AE14" s="166">
        <f>IF(T14=0,"",INDEX(tblIndiSets!$E$192:$E$234,iCompare!T14))</f>
        <v>0</v>
      </c>
      <c r="AG14" s="174"/>
      <c r="AL14" s="173"/>
      <c r="AM14" s="173"/>
      <c r="AN14" s="173"/>
      <c r="AO14" s="165"/>
      <c r="AQ14" s="174"/>
      <c r="AV14" s="173"/>
      <c r="AW14" s="173"/>
      <c r="AX14" s="173"/>
      <c r="AY14" s="165"/>
      <c r="BA14" s="174"/>
      <c r="BF14" s="173"/>
      <c r="BG14" s="173"/>
      <c r="BH14" s="173"/>
      <c r="BI14" s="165"/>
      <c r="BK14" s="174"/>
      <c r="BP14" s="173"/>
      <c r="BQ14" s="173"/>
      <c r="BR14" s="173"/>
      <c r="BS14" s="165"/>
      <c r="BU14" s="174"/>
    </row>
    <row r="15" spans="1:73">
      <c r="A15" s="85">
        <f>tblCategories!A10</f>
        <v>8</v>
      </c>
      <c r="B15" s="85" t="str">
        <f>tblCategories!D10</f>
        <v>1.2.2) Precentage of computers infected</v>
      </c>
      <c r="C15" s="85">
        <f>tblCategories!F10</f>
        <v>1</v>
      </c>
      <c r="D15" s="85">
        <v>1</v>
      </c>
      <c r="E15" s="85" t="str">
        <f>INDEX(iCityP_Charts!$N$8:$BE$27,E$6,iCompare!$A15)</f>
        <v>1.2.2) Precentage of computers infected</v>
      </c>
      <c r="F15" s="85">
        <f>INDEX(iCityP_Charts!$N$8:$CP$27,F$6,iCompare!$A15)</f>
        <v>3</v>
      </c>
      <c r="G15" s="85" t="str">
        <f>INDEX(iCityP_Charts!$N$8:$CP$27,G$6,iCompare!$A15)</f>
        <v>x</v>
      </c>
      <c r="H15" s="85">
        <f>INDEX(iCityP_Charts!$N$8:$CP$27,H$6,iCompare!$A15)</f>
        <v>4</v>
      </c>
      <c r="I15" s="85" t="str">
        <f>INDEX(iCityP_Charts!$N$8:$CP$27,I$6,iCompare!$A15)</f>
        <v>x</v>
      </c>
      <c r="O15" s="85">
        <f t="shared" si="0"/>
        <v>1</v>
      </c>
      <c r="P15" s="85">
        <f>IF($C15=0,"",RANK(O15,O$8:O$51,1)+COUNTIF(O$8:O15,O15)-1)</f>
        <v>8</v>
      </c>
      <c r="Q15" s="85">
        <f t="shared" si="1"/>
        <v>8</v>
      </c>
      <c r="R15" s="173">
        <f t="shared" si="2"/>
        <v>3</v>
      </c>
      <c r="S15" s="173">
        <f t="shared" si="3"/>
        <v>1</v>
      </c>
      <c r="T15" s="173">
        <f t="shared" si="4"/>
        <v>1</v>
      </c>
      <c r="U15" s="165">
        <f t="shared" si="5"/>
        <v>3</v>
      </c>
      <c r="V15" s="85" t="str">
        <f t="shared" si="6"/>
        <v>1.2.2) Precentage of computers infected</v>
      </c>
      <c r="W15" s="85">
        <f t="shared" si="6"/>
        <v>3</v>
      </c>
      <c r="X15" s="85" t="str">
        <f t="shared" si="6"/>
        <v>x</v>
      </c>
      <c r="Y15" s="85">
        <f t="shared" si="6"/>
        <v>4</v>
      </c>
      <c r="Z15" s="85" t="str">
        <f t="shared" si="6"/>
        <v>x</v>
      </c>
      <c r="AE15" s="166">
        <f>IF(T15=0,"",INDEX(tblIndiSets!$E$192:$E$234,iCompare!T15))</f>
        <v>0</v>
      </c>
      <c r="AG15" s="174"/>
      <c r="AL15" s="173"/>
      <c r="AM15" s="173"/>
      <c r="AN15" s="173"/>
      <c r="AO15" s="165"/>
      <c r="AQ15" s="174"/>
      <c r="AV15" s="173"/>
      <c r="AW15" s="173"/>
      <c r="AX15" s="173"/>
      <c r="AY15" s="165"/>
      <c r="BA15" s="174"/>
      <c r="BF15" s="173"/>
      <c r="BG15" s="173"/>
      <c r="BH15" s="173"/>
      <c r="BI15" s="165"/>
      <c r="BK15" s="174"/>
      <c r="BP15" s="173"/>
      <c r="BQ15" s="173"/>
      <c r="BR15" s="173"/>
      <c r="BS15" s="165"/>
      <c r="BU15" s="174"/>
    </row>
    <row r="16" spans="1:73">
      <c r="A16" s="85">
        <f>tblCategories!A11</f>
        <v>9</v>
      </c>
      <c r="B16" s="85" t="str">
        <f>tblCategories!D11</f>
        <v>1.2.3) Percent with internet access</v>
      </c>
      <c r="C16" s="85">
        <f>tblCategories!F11</f>
        <v>1</v>
      </c>
      <c r="D16" s="85">
        <v>1</v>
      </c>
      <c r="E16" s="85" t="str">
        <f>INDEX(iCityP_Charts!$N$8:$BE$27,E$6,iCompare!$A16)</f>
        <v>1.2.3) Percent with internet access</v>
      </c>
      <c r="F16" s="85">
        <f>INDEX(iCityP_Charts!$N$8:$CP$27,F$6,iCompare!$A16)</f>
        <v>0.88</v>
      </c>
      <c r="G16" s="85" t="str">
        <f>INDEX(iCityP_Charts!$N$8:$CP$27,G$6,iCompare!$A16)</f>
        <v>*</v>
      </c>
      <c r="H16" s="85">
        <f>INDEX(iCityP_Charts!$N$8:$CP$27,H$6,iCompare!$A16)</f>
        <v>0.82</v>
      </c>
      <c r="I16" s="85" t="str">
        <f>INDEX(iCityP_Charts!$N$8:$CP$27,I$6,iCompare!$A16)</f>
        <v/>
      </c>
      <c r="O16" s="85">
        <f t="shared" si="0"/>
        <v>1</v>
      </c>
      <c r="P16" s="85">
        <f>IF($C16=0,"",RANK(O16,O$8:O$51,1)+COUNTIF(O$8:O16,O16)-1)</f>
        <v>9</v>
      </c>
      <c r="Q16" s="85">
        <f t="shared" si="1"/>
        <v>9</v>
      </c>
      <c r="R16" s="173">
        <f t="shared" si="2"/>
        <v>7</v>
      </c>
      <c r="S16" s="173">
        <f t="shared" si="3"/>
        <v>1</v>
      </c>
      <c r="T16" s="173">
        <f t="shared" si="4"/>
        <v>1</v>
      </c>
      <c r="U16" s="165">
        <f t="shared" si="5"/>
        <v>7</v>
      </c>
      <c r="V16" s="85" t="str">
        <f t="shared" si="6"/>
        <v>1.2.3) Percent with internet access</v>
      </c>
      <c r="W16" s="85">
        <f t="shared" si="6"/>
        <v>0.88</v>
      </c>
      <c r="X16" s="85" t="str">
        <f t="shared" si="6"/>
        <v>*</v>
      </c>
      <c r="Y16" s="85">
        <f t="shared" si="6"/>
        <v>0.82</v>
      </c>
      <c r="Z16" s="85" t="str">
        <f t="shared" si="6"/>
        <v/>
      </c>
      <c r="AE16" s="166">
        <f>IF(T16=0,"",INDEX(tblIndiSets!$E$192:$E$234,iCompare!T16))</f>
        <v>0</v>
      </c>
      <c r="AG16" s="174"/>
      <c r="AL16" s="173"/>
      <c r="AM16" s="173"/>
      <c r="AN16" s="173"/>
      <c r="AO16" s="165"/>
      <c r="AQ16" s="174"/>
      <c r="AV16" s="173"/>
      <c r="AW16" s="173"/>
      <c r="AX16" s="173"/>
      <c r="AY16" s="165"/>
      <c r="BA16" s="174"/>
      <c r="BF16" s="173"/>
      <c r="BG16" s="173"/>
      <c r="BH16" s="173"/>
      <c r="BI16" s="165"/>
      <c r="BK16" s="174"/>
      <c r="BP16" s="173"/>
      <c r="BQ16" s="173"/>
      <c r="BR16" s="173"/>
      <c r="BS16" s="165"/>
      <c r="BU16" s="174"/>
    </row>
    <row r="17" spans="1:73">
      <c r="A17" s="85">
        <f>tblCategories!A12</f>
        <v>10</v>
      </c>
      <c r="B17" s="85" t="str">
        <f>tblCategories!D12</f>
        <v>2.1.1) Environmental policies</v>
      </c>
      <c r="C17" s="85">
        <f>tblCategories!F12</f>
        <v>0</v>
      </c>
      <c r="D17" s="85">
        <v>1</v>
      </c>
      <c r="E17" s="85" t="str">
        <f>INDEX(iCityP_Charts!$N$8:$BE$27,E$6,iCompare!$A17)</f>
        <v>2.1.1) Environmental policies</v>
      </c>
      <c r="F17" s="85">
        <f>INDEX(iCityP_Charts!$N$8:$CP$27,F$6,iCompare!$A17)</f>
        <v>64</v>
      </c>
      <c r="G17" s="85" t="str">
        <f>INDEX(iCityP_Charts!$N$8:$CP$27,G$6,iCompare!$A17)</f>
        <v>x</v>
      </c>
      <c r="H17" s="85">
        <f>INDEX(iCityP_Charts!$N$8:$CP$27,H$6,iCompare!$A17)</f>
        <v>94.4</v>
      </c>
      <c r="I17" s="85" t="str">
        <f>INDEX(iCityP_Charts!$N$8:$CP$27,I$6,iCompare!$A17)</f>
        <v>*</v>
      </c>
      <c r="O17" s="85" t="str">
        <f t="shared" si="0"/>
        <v/>
      </c>
      <c r="P17" s="85" t="str">
        <f>IF($C17=0,"",RANK(O17,O$8:O$51,1)+COUNTIF(O$8:O17,O17)-1)</f>
        <v/>
      </c>
      <c r="Q17" s="85" t="str">
        <f t="shared" si="1"/>
        <v/>
      </c>
      <c r="R17" s="173" t="str">
        <f t="shared" si="2"/>
        <v/>
      </c>
      <c r="S17" s="173" t="str">
        <f t="shared" si="3"/>
        <v/>
      </c>
      <c r="T17" s="173">
        <f t="shared" si="4"/>
        <v>0</v>
      </c>
      <c r="U17" s="165" t="str">
        <f t="shared" si="5"/>
        <v/>
      </c>
      <c r="V17" s="85" t="str">
        <f t="shared" si="6"/>
        <v/>
      </c>
      <c r="W17" s="85" t="str">
        <f t="shared" si="6"/>
        <v/>
      </c>
      <c r="X17" s="85" t="str">
        <f t="shared" si="6"/>
        <v/>
      </c>
      <c r="Y17" s="85" t="str">
        <f t="shared" si="6"/>
        <v/>
      </c>
      <c r="Z17" s="85" t="str">
        <f t="shared" si="6"/>
        <v/>
      </c>
      <c r="AE17" s="166" t="str">
        <f>IF(T17=0,"",INDEX(tblIndiSets!$E$192:$E$234,iCompare!T17))</f>
        <v/>
      </c>
      <c r="AG17" s="174"/>
      <c r="AL17" s="173"/>
      <c r="AM17" s="173"/>
      <c r="AN17" s="173"/>
      <c r="AO17" s="165"/>
      <c r="AQ17" s="174"/>
      <c r="AV17" s="173"/>
      <c r="AW17" s="173"/>
      <c r="AX17" s="173"/>
      <c r="AY17" s="165"/>
      <c r="BA17" s="174"/>
      <c r="BF17" s="173"/>
      <c r="BG17" s="173"/>
      <c r="BH17" s="173"/>
      <c r="BI17" s="165"/>
      <c r="BK17" s="174"/>
      <c r="BP17" s="173"/>
      <c r="BQ17" s="173"/>
      <c r="BR17" s="173"/>
      <c r="BS17" s="165"/>
      <c r="BU17" s="174"/>
    </row>
    <row r="18" spans="1:73">
      <c r="A18" s="85">
        <f>tblCategories!A13</f>
        <v>11</v>
      </c>
      <c r="B18" s="85" t="str">
        <f>tblCategories!D13</f>
        <v>2.1.2) Access to healthcare</v>
      </c>
      <c r="C18" s="85">
        <f>tblCategories!F13</f>
        <v>0</v>
      </c>
      <c r="D18" s="85">
        <v>1</v>
      </c>
      <c r="E18" s="85" t="str">
        <f>INDEX(iCityP_Charts!$N$8:$BE$27,E$6,iCompare!$A18)</f>
        <v>2.1.2) Access to healthcare</v>
      </c>
      <c r="F18" s="85">
        <f>INDEX(iCityP_Charts!$N$8:$CP$27,F$6,iCompare!$A18)</f>
        <v>75</v>
      </c>
      <c r="G18" s="85" t="str">
        <f>INDEX(iCityP_Charts!$N$8:$CP$27,G$6,iCompare!$A18)</f>
        <v/>
      </c>
      <c r="H18" s="85">
        <f>INDEX(iCityP_Charts!$N$8:$CP$27,H$6,iCompare!$A18)</f>
        <v>100</v>
      </c>
      <c r="I18" s="85" t="str">
        <f>INDEX(iCityP_Charts!$N$8:$CP$27,I$6,iCompare!$A18)</f>
        <v>*</v>
      </c>
      <c r="O18" s="85" t="str">
        <f t="shared" si="0"/>
        <v/>
      </c>
      <c r="P18" s="85" t="str">
        <f>IF($C18=0,"",RANK(O18,O$8:O$51,1)+COUNTIF(O$8:O18,O18)-1)</f>
        <v/>
      </c>
      <c r="Q18" s="85" t="str">
        <f t="shared" si="1"/>
        <v/>
      </c>
      <c r="R18" s="173" t="str">
        <f t="shared" si="2"/>
        <v/>
      </c>
      <c r="S18" s="173" t="str">
        <f t="shared" si="3"/>
        <v/>
      </c>
      <c r="T18" s="173">
        <f t="shared" si="4"/>
        <v>0</v>
      </c>
      <c r="U18" s="165" t="str">
        <f t="shared" si="5"/>
        <v/>
      </c>
      <c r="V18" s="85" t="str">
        <f t="shared" si="6"/>
        <v/>
      </c>
      <c r="W18" s="85" t="str">
        <f t="shared" si="6"/>
        <v/>
      </c>
      <c r="X18" s="85" t="str">
        <f t="shared" si="6"/>
        <v/>
      </c>
      <c r="Y18" s="85" t="str">
        <f t="shared" si="6"/>
        <v/>
      </c>
      <c r="Z18" s="85" t="str">
        <f t="shared" si="6"/>
        <v/>
      </c>
      <c r="AE18" s="166" t="str">
        <f>IF(T18=0,"",INDEX(tblIndiSets!$E$192:$E$234,iCompare!T18))</f>
        <v/>
      </c>
      <c r="AG18" s="174"/>
      <c r="AL18" s="173"/>
      <c r="AM18" s="173"/>
      <c r="AN18" s="173"/>
      <c r="AO18" s="165"/>
      <c r="AQ18" s="174"/>
      <c r="AV18" s="173"/>
      <c r="AW18" s="173"/>
      <c r="AX18" s="173"/>
      <c r="AY18" s="165"/>
      <c r="BA18" s="174"/>
      <c r="BF18" s="173"/>
      <c r="BG18" s="173"/>
      <c r="BH18" s="173"/>
      <c r="BI18" s="165"/>
      <c r="BK18" s="174"/>
      <c r="BP18" s="173"/>
      <c r="BQ18" s="173"/>
      <c r="BR18" s="173"/>
      <c r="BS18" s="165"/>
      <c r="BU18" s="174"/>
    </row>
    <row r="19" spans="1:73">
      <c r="A19" s="85">
        <f>tblCategories!A14</f>
        <v>12</v>
      </c>
      <c r="B19" s="85" t="str">
        <f>tblCategories!D14</f>
        <v>2.1.3) No. of beds per 1000</v>
      </c>
      <c r="C19" s="85">
        <f>tblCategories!F14</f>
        <v>0</v>
      </c>
      <c r="D19" s="85">
        <v>1</v>
      </c>
      <c r="E19" s="85" t="str">
        <f>INDEX(iCityP_Charts!$N$8:$BE$27,E$6,iCompare!$A19)</f>
        <v>2.1.3) No. of beds per 1000</v>
      </c>
      <c r="F19" s="85">
        <f>INDEX(iCityP_Charts!$N$8:$CP$27,F$6,iCompare!$A19)</f>
        <v>2.7</v>
      </c>
      <c r="G19" s="85" t="str">
        <f>INDEX(iCityP_Charts!$N$8:$CP$27,G$6,iCompare!$A19)</f>
        <v/>
      </c>
      <c r="H19" s="85">
        <f>INDEX(iCityP_Charts!$N$8:$CP$27,H$6,iCompare!$A19)</f>
        <v>7.11</v>
      </c>
      <c r="I19" s="85" t="str">
        <f>INDEX(iCityP_Charts!$N$8:$CP$27,I$6,iCompare!$A19)</f>
        <v>*</v>
      </c>
      <c r="O19" s="85" t="str">
        <f t="shared" si="0"/>
        <v/>
      </c>
      <c r="P19" s="85" t="str">
        <f>IF($C19=0,"",RANK(O19,O$8:O$51,1)+COUNTIF(O$8:O19,O19)-1)</f>
        <v/>
      </c>
      <c r="Q19" s="85" t="str">
        <f t="shared" si="1"/>
        <v/>
      </c>
      <c r="R19" s="173" t="str">
        <f t="shared" si="2"/>
        <v/>
      </c>
      <c r="S19" s="173" t="str">
        <f t="shared" si="3"/>
        <v/>
      </c>
      <c r="T19" s="173">
        <f t="shared" si="4"/>
        <v>0</v>
      </c>
      <c r="U19" s="165" t="str">
        <f t="shared" si="5"/>
        <v/>
      </c>
      <c r="V19" s="85" t="str">
        <f t="shared" si="6"/>
        <v/>
      </c>
      <c r="W19" s="85" t="str">
        <f t="shared" si="6"/>
        <v/>
      </c>
      <c r="X19" s="85" t="str">
        <f t="shared" si="6"/>
        <v/>
      </c>
      <c r="Y19" s="85" t="str">
        <f t="shared" si="6"/>
        <v/>
      </c>
      <c r="Z19" s="85" t="str">
        <f t="shared" si="6"/>
        <v/>
      </c>
      <c r="AE19" s="166" t="str">
        <f>IF(T19=0,"",INDEX(tblIndiSets!$E$192:$E$234,iCompare!T19))</f>
        <v/>
      </c>
      <c r="AG19" s="174"/>
      <c r="AL19" s="173"/>
      <c r="AM19" s="173"/>
      <c r="AN19" s="173"/>
      <c r="AO19" s="165"/>
      <c r="AQ19" s="174"/>
      <c r="AV19" s="173"/>
      <c r="AW19" s="173"/>
      <c r="AX19" s="173"/>
      <c r="AY19" s="165"/>
      <c r="BA19" s="174"/>
      <c r="BF19" s="173"/>
      <c r="BG19" s="173"/>
      <c r="BH19" s="173"/>
      <c r="BI19" s="165"/>
      <c r="BK19" s="174"/>
      <c r="BP19" s="173"/>
      <c r="BQ19" s="173"/>
      <c r="BR19" s="173"/>
      <c r="BS19" s="165"/>
      <c r="BU19" s="174"/>
    </row>
    <row r="20" spans="1:73">
      <c r="A20" s="85">
        <f>tblCategories!A15</f>
        <v>13</v>
      </c>
      <c r="B20" s="85" t="str">
        <f>tblCategories!D15</f>
        <v>2.1.4) Number of doctors per 1000</v>
      </c>
      <c r="C20" s="85">
        <f>tblCategories!F15</f>
        <v>0</v>
      </c>
      <c r="D20" s="85">
        <v>1</v>
      </c>
      <c r="E20" s="85" t="str">
        <f>INDEX(iCityP_Charts!$N$8:$BE$27,E$6,iCompare!$A20)</f>
        <v>2.1.4) Number of doctors per 1000</v>
      </c>
      <c r="F20" s="85">
        <f>INDEX(iCityP_Charts!$N$8:$CP$27,F$6,iCompare!$A20)</f>
        <v>2.3</v>
      </c>
      <c r="G20" s="85" t="str">
        <f>INDEX(iCityP_Charts!$N$8:$CP$27,G$6,iCompare!$A20)</f>
        <v/>
      </c>
      <c r="H20" s="85">
        <f>INDEX(iCityP_Charts!$N$8:$CP$27,H$6,iCompare!$A20)</f>
        <v>3.5</v>
      </c>
      <c r="I20" s="85" t="str">
        <f>INDEX(iCityP_Charts!$N$8:$CP$27,I$6,iCompare!$A20)</f>
        <v/>
      </c>
      <c r="O20" s="85" t="str">
        <f t="shared" si="0"/>
        <v/>
      </c>
      <c r="P20" s="85" t="str">
        <f>IF($C20=0,"",RANK(O20,O$8:O$51,1)+COUNTIF(O$8:O20,O20)-1)</f>
        <v/>
      </c>
      <c r="Q20" s="85" t="str">
        <f t="shared" si="1"/>
        <v/>
      </c>
      <c r="R20" s="173" t="str">
        <f t="shared" si="2"/>
        <v/>
      </c>
      <c r="S20" s="173" t="str">
        <f t="shared" si="3"/>
        <v/>
      </c>
      <c r="T20" s="173">
        <f t="shared" si="4"/>
        <v>0</v>
      </c>
      <c r="U20" s="165" t="str">
        <f t="shared" si="5"/>
        <v/>
      </c>
      <c r="V20" s="85" t="str">
        <f t="shared" si="6"/>
        <v/>
      </c>
      <c r="W20" s="85" t="str">
        <f t="shared" si="6"/>
        <v/>
      </c>
      <c r="X20" s="85" t="str">
        <f t="shared" si="6"/>
        <v/>
      </c>
      <c r="Y20" s="85" t="str">
        <f t="shared" si="6"/>
        <v/>
      </c>
      <c r="Z20" s="85" t="str">
        <f t="shared" si="6"/>
        <v/>
      </c>
      <c r="AE20" s="166" t="str">
        <f>IF(T20=0,"",INDEX(tblIndiSets!$E$192:$E$234,iCompare!T20))</f>
        <v/>
      </c>
      <c r="AG20" s="174"/>
      <c r="AL20" s="173"/>
      <c r="AM20" s="173"/>
      <c r="AN20" s="173"/>
      <c r="AO20" s="165"/>
      <c r="AQ20" s="174"/>
      <c r="AV20" s="173"/>
      <c r="AW20" s="173"/>
      <c r="AX20" s="173"/>
      <c r="AY20" s="165"/>
      <c r="BA20" s="174"/>
      <c r="BF20" s="173"/>
      <c r="BG20" s="173"/>
      <c r="BH20" s="173"/>
      <c r="BI20" s="165"/>
      <c r="BK20" s="174"/>
      <c r="BP20" s="173"/>
      <c r="BQ20" s="173"/>
      <c r="BR20" s="173"/>
      <c r="BS20" s="165"/>
      <c r="BU20" s="174"/>
    </row>
    <row r="21" spans="1:73">
      <c r="A21" s="85">
        <f>tblCategories!A16</f>
        <v>14</v>
      </c>
      <c r="B21" s="85" t="str">
        <f>tblCategories!D16</f>
        <v>2.1.5) Access to safe and quality food</v>
      </c>
      <c r="C21" s="85">
        <f>tblCategories!F16</f>
        <v>0</v>
      </c>
      <c r="D21" s="85">
        <v>1</v>
      </c>
      <c r="E21" s="85" t="str">
        <f>INDEX(iCityP_Charts!$N$8:$BE$27,E$6,iCompare!$A21)</f>
        <v>2.1.5) Access to safe and quality food</v>
      </c>
      <c r="F21" s="85">
        <f>INDEX(iCityP_Charts!$N$8:$CP$27,F$6,iCompare!$A21)</f>
        <v>100</v>
      </c>
      <c r="G21" s="85" t="str">
        <f>INDEX(iCityP_Charts!$N$8:$CP$27,G$6,iCompare!$A21)</f>
        <v>*</v>
      </c>
      <c r="H21" s="85">
        <f>INDEX(iCityP_Charts!$N$8:$CP$27,H$6,iCompare!$A21)</f>
        <v>100</v>
      </c>
      <c r="I21" s="85" t="str">
        <f>INDEX(iCityP_Charts!$N$8:$CP$27,I$6,iCompare!$A21)</f>
        <v>*</v>
      </c>
      <c r="O21" s="85" t="str">
        <f t="shared" si="0"/>
        <v/>
      </c>
      <c r="P21" s="85" t="str">
        <f>IF($C21=0,"",RANK(O21,O$8:O$51,1)+COUNTIF(O$8:O21,O21)-1)</f>
        <v/>
      </c>
      <c r="Q21" s="85" t="str">
        <f t="shared" si="1"/>
        <v/>
      </c>
      <c r="R21" s="173" t="str">
        <f t="shared" si="2"/>
        <v/>
      </c>
      <c r="S21" s="173" t="str">
        <f t="shared" si="3"/>
        <v/>
      </c>
      <c r="T21" s="173">
        <f t="shared" si="4"/>
        <v>0</v>
      </c>
      <c r="U21" s="165" t="str">
        <f t="shared" si="5"/>
        <v/>
      </c>
      <c r="V21" s="85" t="str">
        <f t="shared" si="6"/>
        <v/>
      </c>
      <c r="W21" s="85" t="str">
        <f t="shared" si="6"/>
        <v/>
      </c>
      <c r="X21" s="85" t="str">
        <f t="shared" si="6"/>
        <v/>
      </c>
      <c r="Y21" s="85" t="str">
        <f t="shared" si="6"/>
        <v/>
      </c>
      <c r="Z21" s="85" t="str">
        <f t="shared" si="6"/>
        <v/>
      </c>
      <c r="AE21" s="166" t="str">
        <f>IF(T21=0,"",INDEX(tblIndiSets!$E$192:$E$234,iCompare!T21))</f>
        <v/>
      </c>
      <c r="AG21" s="174"/>
      <c r="AL21" s="173"/>
      <c r="AM21" s="173"/>
      <c r="AN21" s="173"/>
      <c r="AO21" s="165"/>
      <c r="AQ21" s="174"/>
      <c r="AV21" s="173"/>
      <c r="AW21" s="173"/>
      <c r="AX21" s="173"/>
      <c r="AY21" s="165"/>
      <c r="BA21" s="174"/>
      <c r="BF21" s="173"/>
      <c r="BG21" s="173"/>
      <c r="BH21" s="173"/>
      <c r="BI21" s="165"/>
      <c r="BK21" s="174"/>
      <c r="BP21" s="173"/>
      <c r="BQ21" s="173"/>
      <c r="BR21" s="173"/>
      <c r="BS21" s="165"/>
      <c r="BU21" s="174"/>
    </row>
    <row r="22" spans="1:73">
      <c r="A22" s="85">
        <f>tblCategories!A17</f>
        <v>15</v>
      </c>
      <c r="B22" s="85" t="str">
        <f>tblCategories!D17</f>
        <v>2.1.6) Quality of health services</v>
      </c>
      <c r="C22" s="85">
        <f>tblCategories!F17</f>
        <v>0</v>
      </c>
      <c r="D22" s="85">
        <v>1</v>
      </c>
      <c r="E22" s="85" t="str">
        <f>INDEX(iCityP_Charts!$N$8:$BE$27,E$6,iCompare!$A22)</f>
        <v>2.1.6) Quality of health services</v>
      </c>
      <c r="F22" s="85">
        <f>INDEX(iCityP_Charts!$N$8:$CP$27,F$6,iCompare!$A22)</f>
        <v>2</v>
      </c>
      <c r="G22" s="85" t="str">
        <f>INDEX(iCityP_Charts!$N$8:$CP$27,G$6,iCompare!$A22)</f>
        <v/>
      </c>
      <c r="H22" s="85">
        <f>INDEX(iCityP_Charts!$N$8:$CP$27,H$6,iCompare!$A22)</f>
        <v>1</v>
      </c>
      <c r="I22" s="85" t="str">
        <f>INDEX(iCityP_Charts!$N$8:$CP$27,I$6,iCompare!$A22)</f>
        <v/>
      </c>
      <c r="O22" s="85" t="str">
        <f t="shared" si="0"/>
        <v/>
      </c>
      <c r="P22" s="85" t="str">
        <f>IF($C22=0,"",RANK(O22,O$8:O$51,1)+COUNTIF(O$8:O22,O22)-1)</f>
        <v/>
      </c>
      <c r="Q22" s="85" t="str">
        <f t="shared" si="1"/>
        <v/>
      </c>
      <c r="R22" s="173" t="str">
        <f t="shared" si="2"/>
        <v/>
      </c>
      <c r="S22" s="173" t="str">
        <f t="shared" si="3"/>
        <v/>
      </c>
      <c r="T22" s="173">
        <f t="shared" si="4"/>
        <v>0</v>
      </c>
      <c r="U22" s="165" t="str">
        <f t="shared" si="5"/>
        <v/>
      </c>
      <c r="V22" s="85" t="str">
        <f t="shared" si="6"/>
        <v/>
      </c>
      <c r="W22" s="85" t="str">
        <f t="shared" si="6"/>
        <v/>
      </c>
      <c r="X22" s="85" t="str">
        <f t="shared" si="6"/>
        <v/>
      </c>
      <c r="Y22" s="85" t="str">
        <f t="shared" si="6"/>
        <v/>
      </c>
      <c r="Z22" s="85" t="str">
        <f t="shared" si="6"/>
        <v/>
      </c>
      <c r="AE22" s="166" t="str">
        <f>IF(T22=0,"",INDEX(tblIndiSets!$E$192:$E$234,iCompare!T22))</f>
        <v/>
      </c>
      <c r="AG22" s="174"/>
      <c r="AL22" s="173"/>
      <c r="AM22" s="173"/>
      <c r="AN22" s="173"/>
      <c r="AO22" s="165"/>
      <c r="AQ22" s="174"/>
      <c r="AV22" s="173"/>
      <c r="AW22" s="173"/>
      <c r="AX22" s="173"/>
      <c r="AY22" s="165"/>
      <c r="BA22" s="174"/>
      <c r="BF22" s="173"/>
      <c r="BG22" s="173"/>
      <c r="BH22" s="173"/>
      <c r="BI22" s="165"/>
      <c r="BK22" s="174"/>
      <c r="BP22" s="173"/>
      <c r="BQ22" s="173"/>
      <c r="BR22" s="173"/>
      <c r="BS22" s="165"/>
      <c r="BU22" s="174"/>
    </row>
    <row r="23" spans="1:73">
      <c r="A23" s="85">
        <f>tblCategories!A18</f>
        <v>16</v>
      </c>
      <c r="B23" s="85" t="str">
        <f>tblCategories!D18</f>
        <v>2.2.1) Air quality</v>
      </c>
      <c r="C23" s="85">
        <f>tblCategories!F18</f>
        <v>0</v>
      </c>
      <c r="D23" s="85">
        <v>1</v>
      </c>
      <c r="E23" s="85" t="str">
        <f>INDEX(iCityP_Charts!$N$8:$BE$27,E$6,iCompare!$A23)</f>
        <v>2.2.1) Air quality</v>
      </c>
      <c r="F23" s="85">
        <f>INDEX(iCityP_Charts!$N$8:$CP$27,F$6,iCompare!$A23)</f>
        <v>64</v>
      </c>
      <c r="G23" s="85" t="str">
        <f>INDEX(iCityP_Charts!$N$8:$CP$27,G$6,iCompare!$A23)</f>
        <v>x</v>
      </c>
      <c r="H23" s="85">
        <f>INDEX(iCityP_Charts!$N$8:$CP$27,H$6,iCompare!$A23)</f>
        <v>17</v>
      </c>
      <c r="I23" s="85" t="str">
        <f>INDEX(iCityP_Charts!$N$8:$CP$27,I$6,iCompare!$A23)</f>
        <v/>
      </c>
      <c r="O23" s="85" t="str">
        <f t="shared" si="0"/>
        <v/>
      </c>
      <c r="P23" s="85" t="str">
        <f>IF($C23=0,"",RANK(O23,O$8:O$51,1)+COUNTIF(O$8:O23,O23)-1)</f>
        <v/>
      </c>
      <c r="Q23" s="85" t="str">
        <f t="shared" si="1"/>
        <v/>
      </c>
      <c r="R23" s="173" t="str">
        <f t="shared" si="2"/>
        <v/>
      </c>
      <c r="S23" s="173" t="str">
        <f t="shared" si="3"/>
        <v/>
      </c>
      <c r="T23" s="173">
        <f t="shared" si="4"/>
        <v>0</v>
      </c>
      <c r="U23" s="165" t="str">
        <f t="shared" si="5"/>
        <v/>
      </c>
      <c r="V23" s="85" t="str">
        <f t="shared" si="6"/>
        <v/>
      </c>
      <c r="W23" s="85" t="str">
        <f t="shared" si="6"/>
        <v/>
      </c>
      <c r="X23" s="85" t="str">
        <f t="shared" si="6"/>
        <v/>
      </c>
      <c r="Y23" s="85" t="str">
        <f t="shared" si="6"/>
        <v/>
      </c>
      <c r="Z23" s="85" t="str">
        <f t="shared" si="6"/>
        <v/>
      </c>
      <c r="AE23" s="166" t="str">
        <f>IF(T23=0,"",INDEX(tblIndiSets!$E$192:$E$234,iCompare!T23))</f>
        <v/>
      </c>
      <c r="AG23" s="174"/>
      <c r="AL23" s="173"/>
      <c r="AM23" s="173"/>
      <c r="AN23" s="173"/>
      <c r="AO23" s="165"/>
      <c r="AQ23" s="174"/>
      <c r="AV23" s="173"/>
      <c r="AW23" s="173"/>
      <c r="AX23" s="173"/>
      <c r="AY23" s="165"/>
      <c r="BA23" s="174"/>
      <c r="BF23" s="173"/>
      <c r="BG23" s="173"/>
      <c r="BH23" s="173"/>
      <c r="BI23" s="165"/>
      <c r="BK23" s="174"/>
      <c r="BP23" s="173"/>
      <c r="BQ23" s="173"/>
      <c r="BR23" s="173"/>
      <c r="BS23" s="165"/>
      <c r="BU23" s="174"/>
    </row>
    <row r="24" spans="1:73">
      <c r="A24" s="85">
        <f>tblCategories!A19</f>
        <v>17</v>
      </c>
      <c r="B24" s="85" t="str">
        <f>tblCategories!D19</f>
        <v>2.2.2) Water quality</v>
      </c>
      <c r="C24" s="85">
        <f>tblCategories!F19</f>
        <v>0</v>
      </c>
      <c r="D24" s="85">
        <v>1</v>
      </c>
      <c r="E24" s="85" t="str">
        <f>INDEX(iCityP_Charts!$N$8:$BE$27,E$6,iCompare!$A24)</f>
        <v>2.2.2) Water quality</v>
      </c>
      <c r="F24" s="85">
        <f>INDEX(iCityP_Charts!$N$8:$CP$27,F$6,iCompare!$A24)</f>
        <v>61</v>
      </c>
      <c r="G24" s="85" t="str">
        <f>INDEX(iCityP_Charts!$N$8:$CP$27,G$6,iCompare!$A24)</f>
        <v/>
      </c>
      <c r="H24" s="85">
        <f>INDEX(iCityP_Charts!$N$8:$CP$27,H$6,iCompare!$A24)</f>
        <v>85.5</v>
      </c>
      <c r="I24" s="85" t="str">
        <f>INDEX(iCityP_Charts!$N$8:$CP$27,I$6,iCompare!$A24)</f>
        <v>*</v>
      </c>
      <c r="O24" s="85" t="str">
        <f t="shared" si="0"/>
        <v/>
      </c>
      <c r="P24" s="85" t="str">
        <f>IF($C24=0,"",RANK(O24,O$8:O$51,1)+COUNTIF(O$8:O24,O24)-1)</f>
        <v/>
      </c>
      <c r="Q24" s="85" t="str">
        <f t="shared" si="1"/>
        <v/>
      </c>
      <c r="R24" s="173" t="str">
        <f t="shared" si="2"/>
        <v/>
      </c>
      <c r="S24" s="173" t="str">
        <f t="shared" si="3"/>
        <v/>
      </c>
      <c r="T24" s="173">
        <f t="shared" si="4"/>
        <v>0</v>
      </c>
      <c r="U24" s="165" t="str">
        <f t="shared" si="5"/>
        <v/>
      </c>
      <c r="V24" s="85" t="str">
        <f t="shared" si="6"/>
        <v/>
      </c>
      <c r="W24" s="85" t="str">
        <f t="shared" si="6"/>
        <v/>
      </c>
      <c r="X24" s="85" t="str">
        <f t="shared" si="6"/>
        <v/>
      </c>
      <c r="Y24" s="85" t="str">
        <f t="shared" si="6"/>
        <v/>
      </c>
      <c r="Z24" s="85" t="str">
        <f t="shared" si="6"/>
        <v/>
      </c>
      <c r="AE24" s="166" t="str">
        <f>IF(T24=0,"",INDEX(tblIndiSets!$E$192:$E$234,iCompare!T24))</f>
        <v/>
      </c>
      <c r="AG24" s="174"/>
      <c r="AL24" s="173"/>
      <c r="AM24" s="173"/>
      <c r="AN24" s="173"/>
      <c r="AO24" s="165"/>
      <c r="AQ24" s="174"/>
      <c r="AV24" s="173"/>
      <c r="AW24" s="173"/>
      <c r="AX24" s="173"/>
      <c r="AY24" s="165"/>
      <c r="BA24" s="174"/>
      <c r="BF24" s="173"/>
      <c r="BG24" s="173"/>
      <c r="BH24" s="173"/>
      <c r="BI24" s="165"/>
      <c r="BK24" s="174"/>
      <c r="BP24" s="173"/>
      <c r="BQ24" s="173"/>
      <c r="BR24" s="173"/>
      <c r="BS24" s="165"/>
      <c r="BU24" s="174"/>
    </row>
    <row r="25" spans="1:73">
      <c r="A25" s="85">
        <f>tblCategories!A20</f>
        <v>18</v>
      </c>
      <c r="B25" s="85" t="str">
        <f>tblCategories!D20</f>
        <v>2.2.3) Life expectancy</v>
      </c>
      <c r="C25" s="85">
        <f>tblCategories!F20</f>
        <v>0</v>
      </c>
      <c r="D25" s="85">
        <v>1</v>
      </c>
      <c r="E25" s="85" t="str">
        <f>INDEX(iCityP_Charts!$N$8:$BE$27,E$6,iCompare!$A25)</f>
        <v>2.2.3) Life expectancy</v>
      </c>
      <c r="F25" s="85">
        <f>INDEX(iCityP_Charts!$N$8:$CP$27,F$6,iCompare!$A25)</f>
        <v>77</v>
      </c>
      <c r="G25" s="85" t="str">
        <f>INDEX(iCityP_Charts!$N$8:$CP$27,G$6,iCompare!$A25)</f>
        <v/>
      </c>
      <c r="H25" s="85">
        <f>INDEX(iCityP_Charts!$N$8:$CP$27,H$6,iCompare!$A25)</f>
        <v>81.46</v>
      </c>
      <c r="I25" s="85" t="str">
        <f>INDEX(iCityP_Charts!$N$8:$CP$27,I$6,iCompare!$A25)</f>
        <v/>
      </c>
      <c r="O25" s="85" t="str">
        <f t="shared" si="0"/>
        <v/>
      </c>
      <c r="P25" s="85" t="str">
        <f>IF($C25=0,"",RANK(O25,O$8:O$51,1)+COUNTIF(O$8:O25,O25)-1)</f>
        <v/>
      </c>
      <c r="Q25" s="85" t="str">
        <f t="shared" si="1"/>
        <v/>
      </c>
      <c r="R25" s="173" t="str">
        <f t="shared" si="2"/>
        <v/>
      </c>
      <c r="S25" s="173" t="str">
        <f t="shared" si="3"/>
        <v/>
      </c>
      <c r="T25" s="173">
        <f t="shared" si="4"/>
        <v>0</v>
      </c>
      <c r="U25" s="165" t="str">
        <f t="shared" si="5"/>
        <v/>
      </c>
      <c r="V25" s="85" t="str">
        <f t="shared" si="6"/>
        <v/>
      </c>
      <c r="W25" s="85" t="str">
        <f t="shared" si="6"/>
        <v/>
      </c>
      <c r="X25" s="85" t="str">
        <f t="shared" si="6"/>
        <v/>
      </c>
      <c r="Y25" s="85" t="str">
        <f t="shared" si="6"/>
        <v/>
      </c>
      <c r="Z25" s="85" t="str">
        <f t="shared" si="6"/>
        <v/>
      </c>
      <c r="AE25" s="166" t="str">
        <f>IF(T25=0,"",INDEX(tblIndiSets!$E$192:$E$234,iCompare!T25))</f>
        <v/>
      </c>
      <c r="AG25" s="174"/>
      <c r="AL25" s="173"/>
      <c r="AM25" s="173"/>
      <c r="AN25" s="173"/>
      <c r="AO25" s="165"/>
      <c r="AQ25" s="174"/>
      <c r="AV25" s="173"/>
      <c r="AW25" s="173"/>
      <c r="AX25" s="173"/>
      <c r="AY25" s="165"/>
      <c r="BA25" s="174"/>
      <c r="BF25" s="173"/>
      <c r="BG25" s="173"/>
      <c r="BH25" s="173"/>
      <c r="BI25" s="165"/>
      <c r="BK25" s="174"/>
      <c r="BP25" s="173"/>
      <c r="BQ25" s="173"/>
      <c r="BR25" s="173"/>
      <c r="BS25" s="165"/>
      <c r="BU25" s="174"/>
    </row>
    <row r="26" spans="1:73">
      <c r="A26" s="85">
        <f>tblCategories!A21</f>
        <v>19</v>
      </c>
      <c r="B26" s="85" t="str">
        <f>tblCategories!D21</f>
        <v>2.2.4) Infant mortality (deaths per 1,000 live births)</v>
      </c>
      <c r="C26" s="85">
        <f>tblCategories!F21</f>
        <v>0</v>
      </c>
      <c r="D26" s="85">
        <v>1</v>
      </c>
      <c r="E26" s="85" t="str">
        <f>INDEX(iCityP_Charts!$N$8:$BE$27,E$6,iCompare!$A26)</f>
        <v>2.2.4) Infant mortality (deaths per 1,000 live births)</v>
      </c>
      <c r="F26" s="85">
        <f>INDEX(iCityP_Charts!$N$8:$CP$27,F$6,iCompare!$A26)</f>
        <v>6.3</v>
      </c>
      <c r="G26" s="85" t="str">
        <f>INDEX(iCityP_Charts!$N$8:$CP$27,G$6,iCompare!$A26)</f>
        <v/>
      </c>
      <c r="H26" s="85">
        <f>INDEX(iCityP_Charts!$N$8:$CP$27,H$6,iCompare!$A26)</f>
        <v>3.37</v>
      </c>
      <c r="I26" s="85" t="str">
        <f>INDEX(iCityP_Charts!$N$8:$CP$27,I$6,iCompare!$A26)</f>
        <v/>
      </c>
      <c r="O26" s="85" t="str">
        <f t="shared" si="0"/>
        <v/>
      </c>
      <c r="P26" s="85" t="str">
        <f>IF($C26=0,"",RANK(O26,O$8:O$51,1)+COUNTIF(O$8:O26,O26)-1)</f>
        <v/>
      </c>
      <c r="Q26" s="85" t="str">
        <f t="shared" si="1"/>
        <v/>
      </c>
      <c r="R26" s="173" t="str">
        <f t="shared" si="2"/>
        <v/>
      </c>
      <c r="S26" s="173" t="str">
        <f t="shared" si="3"/>
        <v/>
      </c>
      <c r="T26" s="173">
        <f t="shared" si="4"/>
        <v>0</v>
      </c>
      <c r="U26" s="165" t="str">
        <f t="shared" si="5"/>
        <v/>
      </c>
      <c r="V26" s="85" t="str">
        <f t="shared" si="6"/>
        <v/>
      </c>
      <c r="W26" s="85" t="str">
        <f t="shared" si="6"/>
        <v/>
      </c>
      <c r="X26" s="85" t="str">
        <f t="shared" si="6"/>
        <v/>
      </c>
      <c r="Y26" s="85" t="str">
        <f t="shared" si="6"/>
        <v/>
      </c>
      <c r="Z26" s="85" t="str">
        <f t="shared" si="6"/>
        <v/>
      </c>
      <c r="AE26" s="166" t="str">
        <f>IF(T26=0,"",INDEX(tblIndiSets!$E$192:$E$234,iCompare!T26))</f>
        <v/>
      </c>
      <c r="AG26" s="174"/>
      <c r="AL26" s="173"/>
      <c r="AM26" s="173"/>
      <c r="AN26" s="173"/>
      <c r="AO26" s="165"/>
      <c r="AQ26" s="174"/>
      <c r="AV26" s="173"/>
      <c r="AW26" s="173"/>
      <c r="AX26" s="173"/>
      <c r="AY26" s="165"/>
      <c r="BA26" s="174"/>
      <c r="BF26" s="173"/>
      <c r="BG26" s="173"/>
      <c r="BH26" s="173"/>
      <c r="BI26" s="165"/>
      <c r="BK26" s="174"/>
      <c r="BP26" s="173"/>
      <c r="BQ26" s="173"/>
      <c r="BR26" s="173"/>
      <c r="BS26" s="165"/>
      <c r="BU26" s="174"/>
    </row>
    <row r="27" spans="1:73">
      <c r="A27" s="85">
        <f>tblCategories!A22</f>
        <v>20</v>
      </c>
      <c r="B27" s="85" t="str">
        <f>tblCategories!D22</f>
        <v>2.2.5) Cancer mortality rate ( Cancer deaths per 100,000)</v>
      </c>
      <c r="C27" s="85">
        <f>tblCategories!F22</f>
        <v>0</v>
      </c>
      <c r="D27" s="85">
        <v>1</v>
      </c>
      <c r="E27" s="85" t="str">
        <f>INDEX(iCityP_Charts!$N$8:$BE$27,E$6,iCompare!$A27)</f>
        <v>2.2.5) Cancer mortality rate ( Cancer deaths per 100,000)</v>
      </c>
      <c r="F27" s="85">
        <f>INDEX(iCityP_Charts!$N$8:$CP$27,F$6,iCompare!$A27)</f>
        <v>406</v>
      </c>
      <c r="G27" s="85" t="str">
        <f>INDEX(iCityP_Charts!$N$8:$CP$27,G$6,iCompare!$A27)</f>
        <v>x</v>
      </c>
      <c r="H27" s="85">
        <f>INDEX(iCityP_Charts!$N$8:$CP$27,H$6,iCompare!$A27)</f>
        <v>177</v>
      </c>
      <c r="I27" s="85" t="str">
        <f>INDEX(iCityP_Charts!$N$8:$CP$27,I$6,iCompare!$A27)</f>
        <v>x</v>
      </c>
      <c r="O27" s="85" t="str">
        <f t="shared" si="0"/>
        <v/>
      </c>
      <c r="P27" s="85" t="str">
        <f>IF($C27=0,"",RANK(O27,O$8:O$51,1)+COUNTIF(O$8:O27,O27)-1)</f>
        <v/>
      </c>
      <c r="Q27" s="85" t="str">
        <f t="shared" si="1"/>
        <v/>
      </c>
      <c r="R27" s="173" t="str">
        <f t="shared" si="2"/>
        <v/>
      </c>
      <c r="S27" s="173" t="str">
        <f t="shared" si="3"/>
        <v/>
      </c>
      <c r="T27" s="173">
        <f t="shared" si="4"/>
        <v>0</v>
      </c>
      <c r="U27" s="165" t="str">
        <f t="shared" si="5"/>
        <v/>
      </c>
      <c r="V27" s="85" t="str">
        <f t="shared" si="6"/>
        <v/>
      </c>
      <c r="W27" s="85" t="str">
        <f t="shared" si="6"/>
        <v/>
      </c>
      <c r="X27" s="85" t="str">
        <f t="shared" si="6"/>
        <v/>
      </c>
      <c r="Y27" s="85" t="str">
        <f t="shared" si="6"/>
        <v/>
      </c>
      <c r="Z27" s="85" t="str">
        <f t="shared" si="6"/>
        <v/>
      </c>
      <c r="AE27" s="166" t="str">
        <f>IF(T27=0,"",INDEX(tblIndiSets!$E$192:$E$234,iCompare!T27))</f>
        <v/>
      </c>
      <c r="AG27" s="174"/>
      <c r="AL27" s="173"/>
      <c r="AM27" s="173"/>
      <c r="AN27" s="173"/>
      <c r="AO27" s="165"/>
      <c r="AQ27" s="174"/>
      <c r="AV27" s="173"/>
      <c r="AW27" s="173"/>
      <c r="AX27" s="173"/>
      <c r="AY27" s="165"/>
      <c r="BA27" s="174"/>
      <c r="BF27" s="173"/>
      <c r="BG27" s="173"/>
      <c r="BH27" s="173"/>
      <c r="BI27" s="165"/>
      <c r="BK27" s="174"/>
      <c r="BP27" s="173"/>
      <c r="BQ27" s="173"/>
      <c r="BR27" s="173"/>
      <c r="BS27" s="165"/>
      <c r="BU27" s="174"/>
    </row>
    <row r="28" spans="1:73">
      <c r="A28" s="85">
        <f>tblCategories!A23</f>
        <v>21</v>
      </c>
      <c r="B28" s="85" t="str">
        <f>tblCategories!D23</f>
        <v>3.1.1) Enforcement of transport safety</v>
      </c>
      <c r="C28" s="85">
        <f>tblCategories!F23</f>
        <v>0</v>
      </c>
      <c r="D28" s="85">
        <v>1</v>
      </c>
      <c r="E28" s="85" t="str">
        <f>INDEX(iCityP_Charts!$N$8:$BE$27,E$6,iCompare!$A28)</f>
        <v>3.1.1) Enforcement of transport safety</v>
      </c>
      <c r="F28" s="85">
        <f>INDEX(iCityP_Charts!$N$8:$CP$27,F$6,iCompare!$A28)</f>
        <v>8.25</v>
      </c>
      <c r="G28" s="85" t="str">
        <f>INDEX(iCityP_Charts!$N$8:$CP$27,G$6,iCompare!$A28)</f>
        <v>*</v>
      </c>
      <c r="H28" s="85">
        <f>INDEX(iCityP_Charts!$N$8:$CP$27,H$6,iCompare!$A28)</f>
        <v>8.75</v>
      </c>
      <c r="I28" s="85" t="str">
        <f>INDEX(iCityP_Charts!$N$8:$CP$27,I$6,iCompare!$A28)</f>
        <v>*</v>
      </c>
      <c r="O28" s="85" t="str">
        <f t="shared" si="0"/>
        <v/>
      </c>
      <c r="P28" s="85" t="str">
        <f>IF($C28=0,"",RANK(O28,O$8:O$51,1)+COUNTIF(O$8:O28,O28)-1)</f>
        <v/>
      </c>
      <c r="Q28" s="85" t="str">
        <f t="shared" si="1"/>
        <v/>
      </c>
      <c r="R28" s="173" t="str">
        <f t="shared" si="2"/>
        <v/>
      </c>
      <c r="S28" s="173" t="str">
        <f t="shared" si="3"/>
        <v/>
      </c>
      <c r="T28" s="173">
        <f t="shared" si="4"/>
        <v>0</v>
      </c>
      <c r="U28" s="165" t="str">
        <f t="shared" si="5"/>
        <v/>
      </c>
      <c r="V28" s="85" t="str">
        <f t="shared" si="6"/>
        <v/>
      </c>
      <c r="W28" s="85" t="str">
        <f t="shared" si="6"/>
        <v/>
      </c>
      <c r="X28" s="85" t="str">
        <f t="shared" si="6"/>
        <v/>
      </c>
      <c r="Y28" s="85" t="str">
        <f t="shared" si="6"/>
        <v/>
      </c>
      <c r="Z28" s="85" t="str">
        <f t="shared" si="6"/>
        <v/>
      </c>
      <c r="AE28" s="166" t="str">
        <f>IF(T28=0,"",INDEX(tblIndiSets!$E$192:$E$234,iCompare!T28))</f>
        <v/>
      </c>
      <c r="AG28" s="174"/>
      <c r="AL28" s="173"/>
      <c r="AM28" s="173"/>
      <c r="AN28" s="173"/>
      <c r="AO28" s="165"/>
      <c r="AQ28" s="174"/>
      <c r="AV28" s="173"/>
      <c r="AW28" s="173"/>
      <c r="AX28" s="173"/>
      <c r="AY28" s="165"/>
      <c r="BA28" s="174"/>
      <c r="BF28" s="173"/>
      <c r="BG28" s="173"/>
      <c r="BH28" s="173"/>
      <c r="BI28" s="165"/>
      <c r="BK28" s="174"/>
      <c r="BP28" s="173"/>
      <c r="BQ28" s="173"/>
      <c r="BR28" s="173"/>
      <c r="BS28" s="165"/>
      <c r="BU28" s="174"/>
    </row>
    <row r="29" spans="1:73">
      <c r="A29" s="85">
        <f>tblCategories!A24</f>
        <v>22</v>
      </c>
      <c r="B29" s="85" t="str">
        <f>tblCategories!D24</f>
        <v>3.1.2) Pedestrian friendliness</v>
      </c>
      <c r="C29" s="85">
        <f>tblCategories!F24</f>
        <v>0</v>
      </c>
      <c r="D29" s="85">
        <v>1</v>
      </c>
      <c r="E29" s="85" t="str">
        <f>INDEX(iCityP_Charts!$N$8:$BE$27,E$6,iCompare!$A29)</f>
        <v>3.1.2) Pedestrian friendliness</v>
      </c>
      <c r="F29" s="85">
        <f>INDEX(iCityP_Charts!$N$8:$CP$27,F$6,iCompare!$A29)</f>
        <v>5</v>
      </c>
      <c r="G29" s="85" t="str">
        <f>INDEX(iCityP_Charts!$N$8:$CP$27,G$6,iCompare!$A29)</f>
        <v>*</v>
      </c>
      <c r="H29" s="85">
        <f>INDEX(iCityP_Charts!$N$8:$CP$27,H$6,iCompare!$A29)</f>
        <v>0</v>
      </c>
      <c r="I29" s="85" t="str">
        <f>INDEX(iCityP_Charts!$N$8:$CP$27,I$6,iCompare!$A29)</f>
        <v>x</v>
      </c>
      <c r="O29" s="85" t="str">
        <f t="shared" si="0"/>
        <v/>
      </c>
      <c r="P29" s="85" t="str">
        <f>IF($C29=0,"",RANK(O29,O$8:O$51,1)+COUNTIF(O$8:O29,O29)-1)</f>
        <v/>
      </c>
      <c r="Q29" s="85" t="str">
        <f t="shared" si="1"/>
        <v/>
      </c>
      <c r="R29" s="173" t="str">
        <f t="shared" si="2"/>
        <v/>
      </c>
      <c r="S29" s="173" t="str">
        <f t="shared" si="3"/>
        <v/>
      </c>
      <c r="T29" s="173">
        <f t="shared" si="4"/>
        <v>0</v>
      </c>
      <c r="U29" s="165" t="str">
        <f t="shared" si="5"/>
        <v/>
      </c>
      <c r="V29" s="85" t="str">
        <f t="shared" si="6"/>
        <v/>
      </c>
      <c r="W29" s="85" t="str">
        <f t="shared" si="6"/>
        <v/>
      </c>
      <c r="X29" s="85" t="str">
        <f t="shared" si="6"/>
        <v/>
      </c>
      <c r="Y29" s="85" t="str">
        <f t="shared" si="6"/>
        <v/>
      </c>
      <c r="Z29" s="85" t="str">
        <f t="shared" si="6"/>
        <v/>
      </c>
      <c r="AE29" s="166" t="str">
        <f>IF(T29=0,"",INDEX(tblIndiSets!$E$192:$E$234,iCompare!T29))</f>
        <v/>
      </c>
      <c r="AG29" s="174"/>
      <c r="AL29" s="173"/>
      <c r="AM29" s="173"/>
      <c r="AN29" s="173"/>
      <c r="AO29" s="165"/>
      <c r="AQ29" s="174"/>
      <c r="AV29" s="173"/>
      <c r="AW29" s="173"/>
      <c r="AX29" s="173"/>
      <c r="AY29" s="165"/>
      <c r="BA29" s="174"/>
      <c r="BF29" s="173"/>
      <c r="BG29" s="173"/>
      <c r="BH29" s="173"/>
      <c r="BI29" s="165"/>
      <c r="BK29" s="174"/>
      <c r="BP29" s="173"/>
      <c r="BQ29" s="173"/>
      <c r="BR29" s="173"/>
      <c r="BS29" s="165"/>
      <c r="BU29" s="174"/>
    </row>
    <row r="30" spans="1:73">
      <c r="A30" s="85">
        <f>tblCategories!A25</f>
        <v>23</v>
      </c>
      <c r="B30" s="85" t="str">
        <f>tblCategories!D25</f>
        <v>3.1.3) Quality of road infrastructure</v>
      </c>
      <c r="C30" s="85">
        <f>tblCategories!F25</f>
        <v>0</v>
      </c>
      <c r="D30" s="85">
        <v>1</v>
      </c>
      <c r="E30" s="85" t="str">
        <f>INDEX(iCityP_Charts!$N$8:$BE$27,E$6,iCompare!$A30)</f>
        <v>3.1.3) Quality of road infrastructure</v>
      </c>
      <c r="F30" s="85">
        <f>INDEX(iCityP_Charts!$N$8:$CP$27,F$6,iCompare!$A30)</f>
        <v>1</v>
      </c>
      <c r="G30" s="85" t="str">
        <f>INDEX(iCityP_Charts!$N$8:$CP$27,G$6,iCompare!$A30)</f>
        <v>*</v>
      </c>
      <c r="H30" s="85">
        <f>INDEX(iCityP_Charts!$N$8:$CP$27,H$6,iCompare!$A30)</f>
        <v>2</v>
      </c>
      <c r="I30" s="85" t="str">
        <f>INDEX(iCityP_Charts!$N$8:$CP$27,I$6,iCompare!$A30)</f>
        <v>x</v>
      </c>
      <c r="O30" s="85" t="str">
        <f t="shared" si="0"/>
        <v/>
      </c>
      <c r="P30" s="85" t="str">
        <f>IF($C30=0,"",RANK(O30,O$8:O$51,1)+COUNTIF(O$8:O30,O30)-1)</f>
        <v/>
      </c>
      <c r="Q30" s="85" t="str">
        <f t="shared" si="1"/>
        <v/>
      </c>
      <c r="R30" s="173" t="str">
        <f t="shared" si="2"/>
        <v/>
      </c>
      <c r="S30" s="173" t="str">
        <f t="shared" si="3"/>
        <v/>
      </c>
      <c r="T30" s="173">
        <f t="shared" si="4"/>
        <v>0</v>
      </c>
      <c r="U30" s="165" t="str">
        <f t="shared" si="5"/>
        <v/>
      </c>
      <c r="V30" s="85" t="str">
        <f t="shared" si="6"/>
        <v/>
      </c>
      <c r="W30" s="85" t="str">
        <f t="shared" si="6"/>
        <v/>
      </c>
      <c r="X30" s="85" t="str">
        <f t="shared" si="6"/>
        <v/>
      </c>
      <c r="Y30" s="85" t="str">
        <f t="shared" si="6"/>
        <v/>
      </c>
      <c r="Z30" s="85" t="str">
        <f t="shared" si="6"/>
        <v/>
      </c>
      <c r="AE30" s="166" t="str">
        <f>IF(T30=0,"",INDEX(tblIndiSets!$E$192:$E$234,iCompare!T30))</f>
        <v/>
      </c>
      <c r="AG30" s="174"/>
      <c r="AL30" s="173"/>
      <c r="AM30" s="173"/>
      <c r="AN30" s="173"/>
      <c r="AO30" s="165"/>
      <c r="AQ30" s="174"/>
      <c r="AV30" s="173"/>
      <c r="AW30" s="173"/>
      <c r="AX30" s="173"/>
      <c r="AY30" s="165"/>
      <c r="BA30" s="174"/>
      <c r="BF30" s="173"/>
      <c r="BG30" s="173"/>
      <c r="BH30" s="173"/>
      <c r="BI30" s="165"/>
      <c r="BK30" s="174"/>
      <c r="BP30" s="173"/>
      <c r="BQ30" s="173"/>
      <c r="BR30" s="173"/>
      <c r="BS30" s="165"/>
      <c r="BU30" s="174"/>
    </row>
    <row r="31" spans="1:73">
      <c r="A31" s="85">
        <f>tblCategories!A26</f>
        <v>24</v>
      </c>
      <c r="B31" s="85" t="str">
        <f>tblCategories!D26</f>
        <v>3.1.4) Quality of electricity infrastructure</v>
      </c>
      <c r="C31" s="85">
        <f>tblCategories!F26</f>
        <v>0</v>
      </c>
      <c r="D31" s="85">
        <v>1</v>
      </c>
      <c r="E31" s="85" t="str">
        <f>INDEX(iCityP_Charts!$N$8:$BE$27,E$6,iCompare!$A31)</f>
        <v>3.1.4) Quality of electricity infrastructure</v>
      </c>
      <c r="F31" s="85">
        <f>INDEX(iCityP_Charts!$N$8:$CP$27,F$6,iCompare!$A31)</f>
        <v>2</v>
      </c>
      <c r="G31" s="85" t="str">
        <f>INDEX(iCityP_Charts!$N$8:$CP$27,G$6,iCompare!$A31)</f>
        <v>x</v>
      </c>
      <c r="H31" s="85">
        <f>INDEX(iCityP_Charts!$N$8:$CP$27,H$6,iCompare!$A31)</f>
        <v>1</v>
      </c>
      <c r="I31" s="85" t="str">
        <f>INDEX(iCityP_Charts!$N$8:$CP$27,I$6,iCompare!$A31)</f>
        <v/>
      </c>
      <c r="O31" s="85" t="str">
        <f t="shared" si="0"/>
        <v/>
      </c>
      <c r="P31" s="85" t="str">
        <f>IF($C31=0,"",RANK(O31,O$8:O$51,1)+COUNTIF(O$8:O31,O31)-1)</f>
        <v/>
      </c>
      <c r="Q31" s="85" t="str">
        <f t="shared" si="1"/>
        <v/>
      </c>
      <c r="R31" s="173" t="str">
        <f t="shared" si="2"/>
        <v/>
      </c>
      <c r="S31" s="173" t="str">
        <f t="shared" si="3"/>
        <v/>
      </c>
      <c r="T31" s="173">
        <f t="shared" si="4"/>
        <v>0</v>
      </c>
      <c r="U31" s="165" t="str">
        <f t="shared" si="5"/>
        <v/>
      </c>
      <c r="V31" s="85" t="str">
        <f t="shared" si="6"/>
        <v/>
      </c>
      <c r="W31" s="85" t="str">
        <f t="shared" si="6"/>
        <v/>
      </c>
      <c r="X31" s="85" t="str">
        <f t="shared" si="6"/>
        <v/>
      </c>
      <c r="Y31" s="85" t="str">
        <f t="shared" si="6"/>
        <v/>
      </c>
      <c r="Z31" s="85" t="str">
        <f t="shared" si="6"/>
        <v/>
      </c>
      <c r="AE31" s="166" t="str">
        <f>IF(T31=0,"",INDEX(tblIndiSets!$E$192:$E$234,iCompare!T31))</f>
        <v/>
      </c>
      <c r="AG31" s="174"/>
      <c r="AL31" s="173"/>
      <c r="AM31" s="173"/>
      <c r="AN31" s="173"/>
      <c r="AO31" s="165"/>
      <c r="AQ31" s="174"/>
      <c r="AV31" s="173"/>
      <c r="AW31" s="173"/>
      <c r="AX31" s="173"/>
      <c r="AY31" s="165"/>
      <c r="BA31" s="174"/>
      <c r="BF31" s="173"/>
      <c r="BG31" s="173"/>
      <c r="BH31" s="173"/>
      <c r="BI31" s="165"/>
      <c r="BK31" s="174"/>
      <c r="BP31" s="173"/>
      <c r="BQ31" s="173"/>
      <c r="BR31" s="173"/>
      <c r="BS31" s="165"/>
      <c r="BU31" s="174"/>
    </row>
    <row r="32" spans="1:73">
      <c r="A32" s="85">
        <f>tblCategories!A27</f>
        <v>25</v>
      </c>
      <c r="B32" s="85" t="str">
        <f>tblCategories!D27</f>
        <v>3.1.5) Disaster Management/Business Continuity Plan</v>
      </c>
      <c r="C32" s="85">
        <f>tblCategories!F27</f>
        <v>0</v>
      </c>
      <c r="D32" s="85">
        <v>1</v>
      </c>
      <c r="E32" s="85" t="str">
        <f>INDEX(iCityP_Charts!$N$8:$BE$27,E$6,iCompare!$A32)</f>
        <v>3.1.5) Disaster Management/Business Continuity Plan</v>
      </c>
      <c r="F32" s="85">
        <f>INDEX(iCityP_Charts!$N$8:$CP$27,F$6,iCompare!$A32)</f>
        <v>2</v>
      </c>
      <c r="G32" s="85" t="str">
        <f>INDEX(iCityP_Charts!$N$8:$CP$27,G$6,iCompare!$A32)</f>
        <v/>
      </c>
      <c r="H32" s="85">
        <f>INDEX(iCityP_Charts!$N$8:$CP$27,H$6,iCompare!$A32)</f>
        <v>1</v>
      </c>
      <c r="I32" s="85" t="str">
        <f>INDEX(iCityP_Charts!$N$8:$CP$27,I$6,iCompare!$A32)</f>
        <v/>
      </c>
      <c r="O32" s="85" t="str">
        <f t="shared" si="0"/>
        <v/>
      </c>
      <c r="P32" s="85" t="str">
        <f>IF($C32=0,"",RANK(O32,O$8:O$51,1)+COUNTIF(O$8:O32,O32)-1)</f>
        <v/>
      </c>
      <c r="Q32" s="85" t="str">
        <f t="shared" si="1"/>
        <v/>
      </c>
      <c r="R32" s="173" t="str">
        <f t="shared" si="2"/>
        <v/>
      </c>
      <c r="S32" s="173" t="str">
        <f t="shared" si="3"/>
        <v/>
      </c>
      <c r="T32" s="173">
        <f t="shared" si="4"/>
        <v>0</v>
      </c>
      <c r="U32" s="165" t="str">
        <f t="shared" si="5"/>
        <v/>
      </c>
      <c r="V32" s="85" t="str">
        <f t="shared" si="6"/>
        <v/>
      </c>
      <c r="W32" s="85" t="str">
        <f t="shared" si="6"/>
        <v/>
      </c>
      <c r="X32" s="85" t="str">
        <f t="shared" si="6"/>
        <v/>
      </c>
      <c r="Y32" s="85" t="str">
        <f t="shared" si="6"/>
        <v/>
      </c>
      <c r="Z32" s="85" t="str">
        <f t="shared" si="6"/>
        <v/>
      </c>
      <c r="AE32" s="166" t="str">
        <f>IF(T32=0,"",INDEX(tblIndiSets!$E$192:$E$234,iCompare!T32))</f>
        <v/>
      </c>
      <c r="AG32" s="174"/>
      <c r="AL32" s="173"/>
      <c r="AM32" s="173"/>
      <c r="AN32" s="173"/>
      <c r="AO32" s="165"/>
      <c r="AQ32" s="174"/>
      <c r="AV32" s="173"/>
      <c r="AW32" s="173"/>
      <c r="AX32" s="173"/>
      <c r="AY32" s="165"/>
      <c r="BA32" s="174"/>
      <c r="BF32" s="173"/>
      <c r="BG32" s="173"/>
      <c r="BH32" s="173"/>
      <c r="BI32" s="165"/>
      <c r="BK32" s="174"/>
      <c r="BP32" s="173"/>
      <c r="BQ32" s="173"/>
      <c r="BR32" s="173"/>
      <c r="BS32" s="165"/>
      <c r="BU32" s="174"/>
    </row>
    <row r="33" spans="1:73">
      <c r="A33" s="85">
        <f>tblCategories!A28</f>
        <v>26</v>
      </c>
      <c r="B33" s="85" t="str">
        <f>tblCategories!D28</f>
        <v>3.2.1) Death from natural disasters</v>
      </c>
      <c r="C33" s="85">
        <f>tblCategories!F28</f>
        <v>0</v>
      </c>
      <c r="D33" s="85">
        <v>1</v>
      </c>
      <c r="E33" s="85" t="str">
        <f>INDEX(iCityP_Charts!$N$8:$BE$27,E$6,iCompare!$A33)</f>
        <v>3.2.1) Death from natural disasters</v>
      </c>
      <c r="F33" s="85">
        <f>INDEX(iCityP_Charts!$N$8:$CP$27,F$6,iCompare!$A33)</f>
        <v>0</v>
      </c>
      <c r="G33" s="85" t="str">
        <f>INDEX(iCityP_Charts!$N$8:$CP$27,G$6,iCompare!$A33)</f>
        <v>*</v>
      </c>
      <c r="H33" s="85">
        <f>INDEX(iCityP_Charts!$N$8:$CP$27,H$6,iCompare!$A33)</f>
        <v>15.45</v>
      </c>
      <c r="I33" s="85" t="str">
        <f>INDEX(iCityP_Charts!$N$8:$CP$27,I$6,iCompare!$A33)</f>
        <v/>
      </c>
      <c r="O33" s="85" t="str">
        <f t="shared" si="0"/>
        <v/>
      </c>
      <c r="P33" s="85" t="str">
        <f>IF($C33=0,"",RANK(O33,O$8:O$51,1)+COUNTIF(O$8:O33,O33)-1)</f>
        <v/>
      </c>
      <c r="Q33" s="85" t="str">
        <f t="shared" si="1"/>
        <v/>
      </c>
      <c r="R33" s="173" t="str">
        <f t="shared" si="2"/>
        <v/>
      </c>
      <c r="S33" s="173" t="str">
        <f t="shared" si="3"/>
        <v/>
      </c>
      <c r="T33" s="173">
        <f t="shared" si="4"/>
        <v>0</v>
      </c>
      <c r="U33" s="165" t="str">
        <f t="shared" si="5"/>
        <v/>
      </c>
      <c r="V33" s="85" t="str">
        <f t="shared" si="6"/>
        <v/>
      </c>
      <c r="W33" s="85" t="str">
        <f t="shared" si="6"/>
        <v/>
      </c>
      <c r="X33" s="85" t="str">
        <f t="shared" si="6"/>
        <v/>
      </c>
      <c r="Y33" s="85" t="str">
        <f t="shared" si="6"/>
        <v/>
      </c>
      <c r="Z33" s="85" t="str">
        <f t="shared" si="6"/>
        <v/>
      </c>
      <c r="AE33" s="166" t="str">
        <f>IF(T33=0,"",INDEX(tblIndiSets!$E$192:$E$234,iCompare!T33))</f>
        <v/>
      </c>
      <c r="AG33" s="174"/>
      <c r="AL33" s="173"/>
      <c r="AM33" s="173"/>
      <c r="AN33" s="173"/>
      <c r="AO33" s="165"/>
      <c r="AQ33" s="174"/>
      <c r="AV33" s="173"/>
      <c r="AW33" s="173"/>
      <c r="AX33" s="173"/>
      <c r="AY33" s="165"/>
      <c r="BA33" s="174"/>
      <c r="BF33" s="173"/>
      <c r="BG33" s="173"/>
      <c r="BH33" s="173"/>
      <c r="BI33" s="165"/>
      <c r="BK33" s="174"/>
      <c r="BP33" s="173"/>
      <c r="BQ33" s="173"/>
      <c r="BR33" s="173"/>
      <c r="BS33" s="165"/>
      <c r="BU33" s="174"/>
    </row>
    <row r="34" spans="1:73">
      <c r="A34" s="85">
        <f>tblCategories!A29</f>
        <v>27</v>
      </c>
      <c r="B34" s="85" t="str">
        <f>tblCategories!D29</f>
        <v>3.2.2) Frequency of vehicular accidents</v>
      </c>
      <c r="C34" s="85">
        <f>tblCategories!F29</f>
        <v>0</v>
      </c>
      <c r="D34" s="85">
        <v>1</v>
      </c>
      <c r="E34" s="85" t="str">
        <f>INDEX(iCityP_Charts!$N$8:$BE$27,E$6,iCompare!$A34)</f>
        <v>3.2.2) Frequency of vehicular accidents</v>
      </c>
      <c r="F34" s="85">
        <f>INDEX(iCityP_Charts!$N$8:$CP$27,F$6,iCompare!$A34)</f>
        <v>83</v>
      </c>
      <c r="G34" s="85" t="str">
        <f>INDEX(iCityP_Charts!$N$8:$CP$27,G$6,iCompare!$A34)</f>
        <v>*</v>
      </c>
      <c r="H34" s="85">
        <f>INDEX(iCityP_Charts!$N$8:$CP$27,H$6,iCompare!$A34)</f>
        <v>1061</v>
      </c>
      <c r="I34" s="85" t="str">
        <f>INDEX(iCityP_Charts!$N$8:$CP$27,I$6,iCompare!$A34)</f>
        <v>x</v>
      </c>
      <c r="O34" s="85" t="str">
        <f t="shared" si="0"/>
        <v/>
      </c>
      <c r="P34" s="85" t="str">
        <f>IF($C34=0,"",RANK(O34,O$8:O$51,1)+COUNTIF(O$8:O34,O34)-1)</f>
        <v/>
      </c>
      <c r="Q34" s="85" t="str">
        <f t="shared" si="1"/>
        <v/>
      </c>
      <c r="R34" s="173" t="str">
        <f t="shared" si="2"/>
        <v/>
      </c>
      <c r="S34" s="173" t="str">
        <f t="shared" si="3"/>
        <v/>
      </c>
      <c r="T34" s="173">
        <f t="shared" si="4"/>
        <v>0</v>
      </c>
      <c r="U34" s="165" t="str">
        <f t="shared" si="5"/>
        <v/>
      </c>
      <c r="V34" s="85" t="str">
        <f t="shared" si="6"/>
        <v/>
      </c>
      <c r="W34" s="85" t="str">
        <f t="shared" si="6"/>
        <v/>
      </c>
      <c r="X34" s="85" t="str">
        <f t="shared" si="6"/>
        <v/>
      </c>
      <c r="Y34" s="85" t="str">
        <f t="shared" si="6"/>
        <v/>
      </c>
      <c r="Z34" s="85" t="str">
        <f t="shared" si="6"/>
        <v/>
      </c>
      <c r="AE34" s="166" t="str">
        <f>IF(T34=0,"",INDEX(tblIndiSets!$E$192:$E$234,iCompare!T34))</f>
        <v/>
      </c>
      <c r="AG34" s="174"/>
      <c r="AL34" s="173"/>
      <c r="AM34" s="173"/>
      <c r="AN34" s="173"/>
      <c r="AO34" s="165"/>
      <c r="AQ34" s="174"/>
      <c r="AV34" s="173"/>
      <c r="AW34" s="173"/>
      <c r="AX34" s="173"/>
      <c r="AY34" s="165"/>
      <c r="BA34" s="174"/>
      <c r="BF34" s="173"/>
      <c r="BG34" s="173"/>
      <c r="BH34" s="173"/>
      <c r="BI34" s="165"/>
      <c r="BK34" s="174"/>
      <c r="BP34" s="173"/>
      <c r="BQ34" s="173"/>
      <c r="BR34" s="173"/>
      <c r="BS34" s="165"/>
      <c r="BU34" s="174"/>
    </row>
    <row r="35" spans="1:73">
      <c r="A35" s="85">
        <f>tblCategories!A30</f>
        <v>28</v>
      </c>
      <c r="B35" s="85" t="str">
        <f>tblCategories!D30</f>
        <v>3.2.3) Frequency of pedestrian deaths</v>
      </c>
      <c r="C35" s="85">
        <f>tblCategories!F30</f>
        <v>0</v>
      </c>
      <c r="D35" s="85">
        <v>1</v>
      </c>
      <c r="E35" s="85" t="str">
        <f>INDEX(iCityP_Charts!$N$8:$BE$27,E$6,iCompare!$A35)</f>
        <v>3.2.3) Frequency of pedestrian deaths</v>
      </c>
      <c r="F35" s="85">
        <f>INDEX(iCityP_Charts!$N$8:$CP$27,F$6,iCompare!$A35)</f>
        <v>1.9</v>
      </c>
      <c r="G35" s="85" t="str">
        <f>INDEX(iCityP_Charts!$N$8:$CP$27,G$6,iCompare!$A35)</f>
        <v/>
      </c>
      <c r="H35" s="85">
        <f>INDEX(iCityP_Charts!$N$8:$CP$27,H$6,iCompare!$A35)</f>
        <v>0.8</v>
      </c>
      <c r="I35" s="85" t="str">
        <f>INDEX(iCityP_Charts!$N$8:$CP$27,I$6,iCompare!$A35)</f>
        <v>*</v>
      </c>
      <c r="O35" s="85" t="str">
        <f t="shared" si="0"/>
        <v/>
      </c>
      <c r="P35" s="85" t="str">
        <f>IF($C35=0,"",RANK(O35,O$8:O$51,1)+COUNTIF(O$8:O35,O35)-1)</f>
        <v/>
      </c>
      <c r="Q35" s="85" t="str">
        <f t="shared" si="1"/>
        <v/>
      </c>
      <c r="R35" s="173" t="str">
        <f t="shared" si="2"/>
        <v/>
      </c>
      <c r="S35" s="173" t="str">
        <f t="shared" si="3"/>
        <v/>
      </c>
      <c r="T35" s="173">
        <f t="shared" si="4"/>
        <v>0</v>
      </c>
      <c r="U35" s="165" t="str">
        <f t="shared" si="5"/>
        <v/>
      </c>
      <c r="V35" s="85" t="str">
        <f t="shared" si="6"/>
        <v/>
      </c>
      <c r="W35" s="85" t="str">
        <f t="shared" si="6"/>
        <v/>
      </c>
      <c r="X35" s="85" t="str">
        <f t="shared" si="6"/>
        <v/>
      </c>
      <c r="Y35" s="85" t="str">
        <f t="shared" si="6"/>
        <v/>
      </c>
      <c r="Z35" s="85" t="str">
        <f t="shared" si="6"/>
        <v/>
      </c>
      <c r="AE35" s="166" t="str">
        <f>IF(T35=0,"",INDEX(tblIndiSets!$E$192:$E$234,iCompare!T35))</f>
        <v/>
      </c>
      <c r="AG35" s="174"/>
      <c r="AL35" s="173"/>
      <c r="AM35" s="173"/>
      <c r="AN35" s="173"/>
      <c r="AO35" s="165"/>
      <c r="AQ35" s="174"/>
      <c r="AV35" s="173"/>
      <c r="AW35" s="173"/>
      <c r="AX35" s="173"/>
      <c r="AY35" s="165"/>
      <c r="BA35" s="174"/>
      <c r="BF35" s="173"/>
      <c r="BG35" s="173"/>
      <c r="BH35" s="173"/>
      <c r="BI35" s="165"/>
      <c r="BK35" s="174"/>
      <c r="BP35" s="173"/>
      <c r="BQ35" s="173"/>
      <c r="BR35" s="173"/>
      <c r="BS35" s="165"/>
      <c r="BU35" s="174"/>
    </row>
    <row r="36" spans="1:73">
      <c r="A36" s="85">
        <f>tblCategories!A31</f>
        <v>29</v>
      </c>
      <c r="B36" s="85" t="str">
        <f>tblCategories!D31</f>
        <v>3.2.4) Percent living in urban slums</v>
      </c>
      <c r="C36" s="85">
        <f>tblCategories!F31</f>
        <v>0</v>
      </c>
      <c r="D36" s="85">
        <v>1</v>
      </c>
      <c r="E36" s="85" t="str">
        <f>INDEX(iCityP_Charts!$N$8:$BE$27,E$6,iCompare!$A36)</f>
        <v>3.2.4) Percent living in urban slums</v>
      </c>
      <c r="F36" s="85">
        <f>INDEX(iCityP_Charts!$N$8:$CP$27,F$6,iCompare!$A36)</f>
        <v>19.5</v>
      </c>
      <c r="G36" s="85" t="str">
        <f>INDEX(iCityP_Charts!$N$8:$CP$27,G$6,iCompare!$A36)</f>
        <v/>
      </c>
      <c r="H36" s="85">
        <f>INDEX(iCityP_Charts!$N$8:$CP$27,H$6,iCompare!$A36)</f>
        <v>19.1</v>
      </c>
      <c r="I36" s="85" t="str">
        <f>INDEX(iCityP_Charts!$N$8:$CP$27,I$6,iCompare!$A36)</f>
        <v/>
      </c>
      <c r="O36" s="85" t="str">
        <f t="shared" si="0"/>
        <v/>
      </c>
      <c r="P36" s="85" t="str">
        <f>IF($C36=0,"",RANK(O36,O$8:O$51,1)+COUNTIF(O$8:O36,O36)-1)</f>
        <v/>
      </c>
      <c r="Q36" s="85" t="str">
        <f t="shared" si="1"/>
        <v/>
      </c>
      <c r="R36" s="173" t="str">
        <f t="shared" si="2"/>
        <v/>
      </c>
      <c r="S36" s="173" t="str">
        <f t="shared" si="3"/>
        <v/>
      </c>
      <c r="T36" s="173">
        <f t="shared" si="4"/>
        <v>0</v>
      </c>
      <c r="U36" s="165" t="str">
        <f t="shared" si="5"/>
        <v/>
      </c>
      <c r="V36" s="85" t="str">
        <f t="shared" si="6"/>
        <v/>
      </c>
      <c r="W36" s="85" t="str">
        <f t="shared" si="6"/>
        <v/>
      </c>
      <c r="X36" s="85" t="str">
        <f t="shared" si="6"/>
        <v/>
      </c>
      <c r="Y36" s="85" t="str">
        <f t="shared" si="6"/>
        <v/>
      </c>
      <c r="Z36" s="85" t="str">
        <f t="shared" si="6"/>
        <v/>
      </c>
      <c r="AE36" s="166" t="str">
        <f>IF(T36=0,"",INDEX(tblIndiSets!$E$192:$E$234,iCompare!T36))</f>
        <v/>
      </c>
      <c r="AG36" s="174"/>
      <c r="AL36" s="173"/>
      <c r="AM36" s="173"/>
      <c r="AN36" s="173"/>
      <c r="AO36" s="165"/>
      <c r="AQ36" s="174"/>
      <c r="AV36" s="173"/>
      <c r="AW36" s="173"/>
      <c r="AX36" s="173"/>
      <c r="AY36" s="165"/>
      <c r="BA36" s="174"/>
      <c r="BF36" s="173"/>
      <c r="BG36" s="173"/>
      <c r="BH36" s="173"/>
      <c r="BI36" s="165"/>
      <c r="BK36" s="174"/>
      <c r="BP36" s="173"/>
      <c r="BQ36" s="173"/>
      <c r="BR36" s="173"/>
      <c r="BS36" s="165"/>
      <c r="BU36" s="174"/>
    </row>
    <row r="37" spans="1:73">
      <c r="A37" s="85">
        <f>tblCategories!A32</f>
        <v>30</v>
      </c>
      <c r="B37" s="85" t="str">
        <f>tblCategories!D32</f>
        <v>4.1.1) Level of police engagement</v>
      </c>
      <c r="C37" s="85">
        <f>tblCategories!F32</f>
        <v>0</v>
      </c>
      <c r="D37" s="85">
        <v>1</v>
      </c>
      <c r="E37" s="85" t="str">
        <f>INDEX(iCityP_Charts!$N$8:$BE$27,E$6,iCompare!$A37)</f>
        <v>4.1.1) Level of police engagement</v>
      </c>
      <c r="F37" s="85">
        <f>INDEX(iCityP_Charts!$N$8:$CP$27,F$6,iCompare!$A37)</f>
        <v>0.5</v>
      </c>
      <c r="G37" s="85" t="str">
        <f>INDEX(iCityP_Charts!$N$8:$CP$27,G$6,iCompare!$A37)</f>
        <v/>
      </c>
      <c r="H37" s="85">
        <f>INDEX(iCityP_Charts!$N$8:$CP$27,H$6,iCompare!$A37)</f>
        <v>1</v>
      </c>
      <c r="I37" s="85" t="str">
        <f>INDEX(iCityP_Charts!$N$8:$CP$27,I$6,iCompare!$A37)</f>
        <v>*</v>
      </c>
      <c r="O37" s="85" t="str">
        <f t="shared" si="0"/>
        <v/>
      </c>
      <c r="P37" s="85" t="str">
        <f>IF($C37=0,"",RANK(O37,O$8:O$51,1)+COUNTIF(O$8:O37,O37)-1)</f>
        <v/>
      </c>
      <c r="Q37" s="85" t="str">
        <f t="shared" si="1"/>
        <v/>
      </c>
      <c r="R37" s="173" t="str">
        <f t="shared" si="2"/>
        <v/>
      </c>
      <c r="S37" s="173" t="str">
        <f t="shared" si="3"/>
        <v/>
      </c>
      <c r="T37" s="173">
        <f t="shared" si="4"/>
        <v>0</v>
      </c>
      <c r="U37" s="165" t="str">
        <f t="shared" si="5"/>
        <v/>
      </c>
      <c r="V37" s="85" t="str">
        <f t="shared" si="6"/>
        <v/>
      </c>
      <c r="W37" s="85" t="str">
        <f t="shared" si="6"/>
        <v/>
      </c>
      <c r="X37" s="85" t="str">
        <f t="shared" si="6"/>
        <v/>
      </c>
      <c r="Y37" s="85" t="str">
        <f t="shared" si="6"/>
        <v/>
      </c>
      <c r="Z37" s="85" t="str">
        <f t="shared" si="6"/>
        <v/>
      </c>
      <c r="AE37" s="166" t="str">
        <f>IF(T37=0,"",INDEX(tblIndiSets!$E$192:$E$234,iCompare!T37))</f>
        <v/>
      </c>
      <c r="AG37" s="174"/>
      <c r="AL37" s="173"/>
      <c r="AM37" s="173"/>
      <c r="AN37" s="173"/>
      <c r="AO37" s="165"/>
      <c r="AQ37" s="174"/>
      <c r="AV37" s="173"/>
      <c r="AW37" s="173"/>
      <c r="AX37" s="173"/>
      <c r="AY37" s="165"/>
      <c r="BA37" s="174"/>
      <c r="BF37" s="173"/>
      <c r="BG37" s="173"/>
      <c r="BH37" s="173"/>
      <c r="BI37" s="165"/>
      <c r="BK37" s="174"/>
      <c r="BP37" s="173"/>
      <c r="BQ37" s="173"/>
      <c r="BR37" s="173"/>
      <c r="BS37" s="165"/>
      <c r="BU37" s="174"/>
    </row>
    <row r="38" spans="1:73">
      <c r="A38" s="85">
        <f>tblCategories!A33</f>
        <v>31</v>
      </c>
      <c r="B38" s="85" t="str">
        <f>tblCategories!D33</f>
        <v>4.1.2) Community-based patrolling</v>
      </c>
      <c r="C38" s="85">
        <f>tblCategories!F33</f>
        <v>0</v>
      </c>
      <c r="D38" s="85">
        <v>1</v>
      </c>
      <c r="E38" s="85" t="str">
        <f>INDEX(iCityP_Charts!$N$8:$BE$27,E$6,iCompare!$A38)</f>
        <v>4.1.2) Community-based patrolling</v>
      </c>
      <c r="F38" s="85">
        <f>INDEX(iCityP_Charts!$N$8:$CP$27,F$6,iCompare!$A38)</f>
        <v>1</v>
      </c>
      <c r="G38" s="85" t="str">
        <f>INDEX(iCityP_Charts!$N$8:$CP$27,G$6,iCompare!$A38)</f>
        <v>*</v>
      </c>
      <c r="H38" s="85">
        <f>INDEX(iCityP_Charts!$N$8:$CP$27,H$6,iCompare!$A38)</f>
        <v>1</v>
      </c>
      <c r="I38" s="85" t="str">
        <f>INDEX(iCityP_Charts!$N$8:$CP$27,I$6,iCompare!$A38)</f>
        <v>*</v>
      </c>
      <c r="O38" s="85" t="str">
        <f t="shared" si="0"/>
        <v/>
      </c>
      <c r="P38" s="85" t="str">
        <f>IF($C38=0,"",RANK(O38,O$8:O$51,1)+COUNTIF(O$8:O38,O38)-1)</f>
        <v/>
      </c>
      <c r="Q38" s="85" t="str">
        <f t="shared" si="1"/>
        <v/>
      </c>
      <c r="R38" s="173" t="str">
        <f t="shared" si="2"/>
        <v/>
      </c>
      <c r="S38" s="173" t="str">
        <f t="shared" si="3"/>
        <v/>
      </c>
      <c r="T38" s="173">
        <f t="shared" si="4"/>
        <v>0</v>
      </c>
      <c r="U38" s="165" t="str">
        <f t="shared" si="5"/>
        <v/>
      </c>
      <c r="V38" s="85" t="str">
        <f t="shared" si="6"/>
        <v/>
      </c>
      <c r="W38" s="85" t="str">
        <f t="shared" si="6"/>
        <v/>
      </c>
      <c r="X38" s="85" t="str">
        <f t="shared" si="6"/>
        <v/>
      </c>
      <c r="Y38" s="85" t="str">
        <f t="shared" si="6"/>
        <v/>
      </c>
      <c r="Z38" s="85" t="str">
        <f t="shared" si="6"/>
        <v/>
      </c>
      <c r="AE38" s="166" t="str">
        <f>IF(T38=0,"",INDEX(tblIndiSets!$E$192:$E$234,iCompare!T38))</f>
        <v/>
      </c>
      <c r="AG38" s="174"/>
      <c r="AL38" s="173"/>
      <c r="AM38" s="173"/>
      <c r="AN38" s="173"/>
      <c r="AO38" s="165"/>
      <c r="AQ38" s="174"/>
      <c r="AV38" s="173"/>
      <c r="AW38" s="173"/>
      <c r="AX38" s="173"/>
      <c r="AY38" s="165"/>
      <c r="BA38" s="174"/>
      <c r="BF38" s="173"/>
      <c r="BG38" s="173"/>
      <c r="BH38" s="173"/>
      <c r="BI38" s="165"/>
      <c r="BK38" s="174"/>
      <c r="BP38" s="173"/>
      <c r="BQ38" s="173"/>
      <c r="BR38" s="173"/>
      <c r="BS38" s="165"/>
      <c r="BU38" s="174"/>
    </row>
    <row r="39" spans="1:73">
      <c r="A39" s="85">
        <f>tblCategories!A34</f>
        <v>32</v>
      </c>
      <c r="B39" s="85" t="str">
        <f>tblCategories!D34</f>
        <v>4.1.3) Availability of street-level crime data</v>
      </c>
      <c r="C39" s="85">
        <f>tblCategories!F34</f>
        <v>0</v>
      </c>
      <c r="D39" s="85">
        <v>1</v>
      </c>
      <c r="E39" s="85" t="str">
        <f>INDEX(iCityP_Charts!$N$8:$BE$27,E$6,iCompare!$A39)</f>
        <v>4.1.3) Availability of street-level crime data</v>
      </c>
      <c r="F39" s="85">
        <f>INDEX(iCityP_Charts!$N$8:$CP$27,F$6,iCompare!$A39)</f>
        <v>1</v>
      </c>
      <c r="G39" s="85" t="str">
        <f>INDEX(iCityP_Charts!$N$8:$CP$27,G$6,iCompare!$A39)</f>
        <v>*</v>
      </c>
      <c r="H39" s="85">
        <f>INDEX(iCityP_Charts!$N$8:$CP$27,H$6,iCompare!$A39)</f>
        <v>1</v>
      </c>
      <c r="I39" s="85" t="str">
        <f>INDEX(iCityP_Charts!$N$8:$CP$27,I$6,iCompare!$A39)</f>
        <v>*</v>
      </c>
      <c r="O39" s="85" t="str">
        <f t="shared" si="0"/>
        <v/>
      </c>
      <c r="P39" s="85" t="str">
        <f>IF($C39=0,"",RANK(O39,O$8:O$51,1)+COUNTIF(O$8:O39,O39)-1)</f>
        <v/>
      </c>
      <c r="Q39" s="85" t="str">
        <f t="shared" si="1"/>
        <v/>
      </c>
      <c r="R39" s="173" t="str">
        <f t="shared" si="2"/>
        <v/>
      </c>
      <c r="S39" s="173" t="str">
        <f t="shared" si="3"/>
        <v/>
      </c>
      <c r="T39" s="173">
        <f t="shared" si="4"/>
        <v>0</v>
      </c>
      <c r="U39" s="165" t="str">
        <f t="shared" si="5"/>
        <v/>
      </c>
      <c r="V39" s="85" t="str">
        <f t="shared" si="6"/>
        <v/>
      </c>
      <c r="W39" s="85" t="str">
        <f t="shared" si="6"/>
        <v/>
      </c>
      <c r="X39" s="85" t="str">
        <f t="shared" si="6"/>
        <v/>
      </c>
      <c r="Y39" s="85" t="str">
        <f t="shared" si="6"/>
        <v/>
      </c>
      <c r="Z39" s="85" t="str">
        <f t="shared" si="6"/>
        <v/>
      </c>
      <c r="AE39" s="166" t="str">
        <f>IF(T39=0,"",INDEX(tblIndiSets!$E$192:$E$234,iCompare!T39))</f>
        <v/>
      </c>
      <c r="AG39" s="174"/>
      <c r="AL39" s="173"/>
      <c r="AM39" s="173"/>
      <c r="AN39" s="173"/>
      <c r="AO39" s="165"/>
      <c r="AQ39" s="174"/>
      <c r="AV39" s="173"/>
      <c r="AW39" s="173"/>
      <c r="AX39" s="173"/>
      <c r="AY39" s="165"/>
      <c r="BA39" s="174"/>
      <c r="BF39" s="173"/>
      <c r="BG39" s="173"/>
      <c r="BH39" s="173"/>
      <c r="BI39" s="165"/>
      <c r="BK39" s="174"/>
      <c r="BP39" s="173"/>
      <c r="BQ39" s="173"/>
      <c r="BR39" s="173"/>
      <c r="BS39" s="165"/>
      <c r="BU39" s="174"/>
    </row>
    <row r="40" spans="1:73">
      <c r="A40" s="85">
        <f>tblCategories!A35</f>
        <v>33</v>
      </c>
      <c r="B40" s="85" t="str">
        <f>tblCategories!D35</f>
        <v>4.1.4) Use of data-driven techniques for crime</v>
      </c>
      <c r="C40" s="85">
        <f>tblCategories!F35</f>
        <v>0</v>
      </c>
      <c r="D40" s="85">
        <v>1</v>
      </c>
      <c r="E40" s="85" t="str">
        <f>INDEX(iCityP_Charts!$N$8:$BE$27,E$6,iCompare!$A40)</f>
        <v>4.1.4) Use of data-driven techniques for crime</v>
      </c>
      <c r="F40" s="85">
        <f>INDEX(iCityP_Charts!$N$8:$CP$27,F$6,iCompare!$A40)</f>
        <v>0</v>
      </c>
      <c r="G40" s="85" t="str">
        <f>INDEX(iCityP_Charts!$N$8:$CP$27,G$6,iCompare!$A40)</f>
        <v/>
      </c>
      <c r="H40" s="85">
        <f>INDEX(iCityP_Charts!$N$8:$CP$27,H$6,iCompare!$A40)</f>
        <v>1</v>
      </c>
      <c r="I40" s="85" t="str">
        <f>INDEX(iCityP_Charts!$N$8:$CP$27,I$6,iCompare!$A40)</f>
        <v>*</v>
      </c>
      <c r="O40" s="85" t="str">
        <f t="shared" si="0"/>
        <v/>
      </c>
      <c r="P40" s="85" t="str">
        <f>IF($C40=0,"",RANK(O40,O$8:O$51,1)+COUNTIF(O$8:O40,O40)-1)</f>
        <v/>
      </c>
      <c r="Q40" s="85" t="str">
        <f t="shared" si="1"/>
        <v/>
      </c>
      <c r="R40" s="173" t="str">
        <f t="shared" si="2"/>
        <v/>
      </c>
      <c r="S40" s="173" t="str">
        <f t="shared" si="3"/>
        <v/>
      </c>
      <c r="T40" s="173">
        <f t="shared" si="4"/>
        <v>0</v>
      </c>
      <c r="U40" s="165" t="str">
        <f t="shared" si="5"/>
        <v/>
      </c>
      <c r="V40" s="85" t="str">
        <f t="shared" si="6"/>
        <v/>
      </c>
      <c r="W40" s="85" t="str">
        <f t="shared" si="6"/>
        <v/>
      </c>
      <c r="X40" s="85" t="str">
        <f t="shared" si="6"/>
        <v/>
      </c>
      <c r="Y40" s="85" t="str">
        <f t="shared" si="6"/>
        <v/>
      </c>
      <c r="Z40" s="85" t="str">
        <f t="shared" si="6"/>
        <v/>
      </c>
      <c r="AE40" s="166" t="str">
        <f>IF(T40=0,"",INDEX(tblIndiSets!$E$192:$E$234,iCompare!T40))</f>
        <v/>
      </c>
      <c r="AG40" s="174"/>
      <c r="AL40" s="173"/>
      <c r="AM40" s="173"/>
      <c r="AN40" s="173"/>
      <c r="AO40" s="165"/>
      <c r="AQ40" s="174"/>
      <c r="AV40" s="173"/>
      <c r="AW40" s="173"/>
      <c r="AX40" s="173"/>
      <c r="AY40" s="165"/>
      <c r="BA40" s="174"/>
      <c r="BF40" s="173"/>
      <c r="BG40" s="173"/>
      <c r="BH40" s="173"/>
      <c r="BI40" s="165"/>
      <c r="BK40" s="174"/>
      <c r="BP40" s="173"/>
      <c r="BQ40" s="173"/>
      <c r="BR40" s="173"/>
      <c r="BS40" s="165"/>
      <c r="BU40" s="174"/>
    </row>
    <row r="41" spans="1:73">
      <c r="A41" s="85">
        <f>tblCategories!A36</f>
        <v>34</v>
      </c>
      <c r="B41" s="85" t="str">
        <f>tblCategories!D36</f>
        <v>4.1.5) Private security measures</v>
      </c>
      <c r="C41" s="85">
        <f>tblCategories!F36</f>
        <v>0</v>
      </c>
      <c r="D41" s="85">
        <v>1</v>
      </c>
      <c r="E41" s="85" t="str">
        <f>INDEX(iCityP_Charts!$N$8:$BE$27,E$6,iCompare!$A41)</f>
        <v>4.1.5) Private security measures</v>
      </c>
      <c r="F41" s="85">
        <f>INDEX(iCityP_Charts!$N$8:$CP$27,F$6,iCompare!$A41)</f>
        <v>0</v>
      </c>
      <c r="G41" s="85" t="str">
        <f>INDEX(iCityP_Charts!$N$8:$CP$27,G$6,iCompare!$A41)</f>
        <v/>
      </c>
      <c r="H41" s="85">
        <f>INDEX(iCityP_Charts!$N$8:$CP$27,H$6,iCompare!$A41)</f>
        <v>0</v>
      </c>
      <c r="I41" s="85" t="str">
        <f>INDEX(iCityP_Charts!$N$8:$CP$27,I$6,iCompare!$A41)</f>
        <v/>
      </c>
      <c r="O41" s="85" t="str">
        <f t="shared" si="0"/>
        <v/>
      </c>
      <c r="P41" s="85" t="str">
        <f>IF($C41=0,"",RANK(O41,O$8:O$51,1)+COUNTIF(O$8:O41,O41)-1)</f>
        <v/>
      </c>
      <c r="Q41" s="85" t="str">
        <f t="shared" si="1"/>
        <v/>
      </c>
      <c r="R41" s="173" t="str">
        <f t="shared" si="2"/>
        <v/>
      </c>
      <c r="S41" s="173" t="str">
        <f t="shared" si="3"/>
        <v/>
      </c>
      <c r="T41" s="173">
        <f t="shared" si="4"/>
        <v>0</v>
      </c>
      <c r="U41" s="165" t="str">
        <f t="shared" si="5"/>
        <v/>
      </c>
      <c r="V41" s="85" t="str">
        <f t="shared" si="6"/>
        <v/>
      </c>
      <c r="W41" s="85" t="str">
        <f t="shared" si="6"/>
        <v/>
      </c>
      <c r="X41" s="85" t="str">
        <f t="shared" si="6"/>
        <v/>
      </c>
      <c r="Y41" s="85" t="str">
        <f t="shared" si="6"/>
        <v/>
      </c>
      <c r="Z41" s="85" t="str">
        <f t="shared" si="6"/>
        <v/>
      </c>
      <c r="AE41" s="166" t="str">
        <f>IF(T41=0,"",INDEX(tblIndiSets!$E$192:$E$234,iCompare!T41))</f>
        <v/>
      </c>
      <c r="AG41" s="174"/>
      <c r="AL41" s="173"/>
      <c r="AM41" s="173"/>
      <c r="AN41" s="173"/>
      <c r="AO41" s="165"/>
      <c r="AQ41" s="174"/>
      <c r="AV41" s="173"/>
      <c r="AW41" s="173"/>
      <c r="AX41" s="173"/>
      <c r="AY41" s="165"/>
      <c r="BA41" s="174"/>
      <c r="BF41" s="173"/>
      <c r="BG41" s="173"/>
      <c r="BH41" s="173"/>
      <c r="BI41" s="165"/>
      <c r="BK41" s="174"/>
      <c r="BP41" s="173"/>
      <c r="BQ41" s="173"/>
      <c r="BR41" s="173"/>
      <c r="BS41" s="165"/>
      <c r="BU41" s="174"/>
    </row>
    <row r="42" spans="1:73">
      <c r="A42" s="85">
        <f>tblCategories!A37</f>
        <v>35</v>
      </c>
      <c r="B42" s="85" t="str">
        <f>tblCategories!D37</f>
        <v>4.1.6) Gun regulation and enforcement</v>
      </c>
      <c r="C42" s="85">
        <f>tblCategories!F37</f>
        <v>0</v>
      </c>
      <c r="D42" s="85">
        <v>1</v>
      </c>
      <c r="E42" s="85" t="str">
        <f>INDEX(iCityP_Charts!$N$8:$BE$27,E$6,iCompare!$A42)</f>
        <v>4.1.6) Gun regulation and enforcement</v>
      </c>
      <c r="F42" s="85">
        <f>INDEX(iCityP_Charts!$N$8:$CP$27,F$6,iCompare!$A42)</f>
        <v>3.8</v>
      </c>
      <c r="G42" s="85" t="str">
        <f>INDEX(iCityP_Charts!$N$8:$CP$27,G$6,iCompare!$A42)</f>
        <v/>
      </c>
      <c r="H42" s="85">
        <f>INDEX(iCityP_Charts!$N$8:$CP$27,H$6,iCompare!$A42)</f>
        <v>4</v>
      </c>
      <c r="I42" s="85" t="str">
        <f>INDEX(iCityP_Charts!$N$8:$CP$27,I$6,iCompare!$A42)</f>
        <v>x</v>
      </c>
      <c r="O42" s="85" t="str">
        <f t="shared" si="0"/>
        <v/>
      </c>
      <c r="P42" s="85" t="str">
        <f>IF($C42=0,"",RANK(O42,O$8:O$51,1)+COUNTIF(O$8:O42,O42)-1)</f>
        <v/>
      </c>
      <c r="Q42" s="85" t="str">
        <f t="shared" si="1"/>
        <v/>
      </c>
      <c r="R42" s="173" t="str">
        <f t="shared" si="2"/>
        <v/>
      </c>
      <c r="S42" s="173" t="str">
        <f t="shared" si="3"/>
        <v/>
      </c>
      <c r="T42" s="173">
        <f t="shared" si="4"/>
        <v>0</v>
      </c>
      <c r="U42" s="165" t="str">
        <f t="shared" si="5"/>
        <v/>
      </c>
      <c r="V42" s="85" t="str">
        <f t="shared" si="6"/>
        <v/>
      </c>
      <c r="W42" s="85" t="str">
        <f t="shared" si="6"/>
        <v/>
      </c>
      <c r="X42" s="85" t="str">
        <f t="shared" si="6"/>
        <v/>
      </c>
      <c r="Y42" s="85" t="str">
        <f t="shared" si="6"/>
        <v/>
      </c>
      <c r="Z42" s="85" t="str">
        <f t="shared" si="6"/>
        <v/>
      </c>
      <c r="AE42" s="166" t="str">
        <f>IF(T42=0,"",INDEX(tblIndiSets!$E$192:$E$234,iCompare!T42))</f>
        <v/>
      </c>
      <c r="AG42" s="174"/>
      <c r="AL42" s="173"/>
      <c r="AM42" s="173"/>
      <c r="AN42" s="173"/>
      <c r="AO42" s="165"/>
      <c r="AQ42" s="174"/>
      <c r="AV42" s="173"/>
      <c r="AW42" s="173"/>
      <c r="AX42" s="173"/>
      <c r="AY42" s="165"/>
      <c r="BA42" s="174"/>
      <c r="BF42" s="173"/>
      <c r="BG42" s="173"/>
      <c r="BH42" s="173"/>
      <c r="BI42" s="165"/>
      <c r="BK42" s="174"/>
      <c r="BP42" s="173"/>
      <c r="BQ42" s="173"/>
      <c r="BR42" s="173"/>
      <c r="BS42" s="165"/>
      <c r="BU42" s="174"/>
    </row>
    <row r="43" spans="1:73">
      <c r="A43" s="85">
        <f>tblCategories!A38</f>
        <v>36</v>
      </c>
      <c r="B43" s="85" t="str">
        <f>tblCategories!D38</f>
        <v>4.1.7) Political Stability Risk</v>
      </c>
      <c r="C43" s="85">
        <f>tblCategories!F38</f>
        <v>0</v>
      </c>
      <c r="D43" s="85">
        <v>1</v>
      </c>
      <c r="E43" s="85" t="str">
        <f>INDEX(iCityP_Charts!$N$8:$BE$27,E$6,iCompare!$A43)</f>
        <v>4.1.7) Political Stability Risk</v>
      </c>
      <c r="F43" s="85">
        <f>INDEX(iCityP_Charts!$N$8:$CP$27,F$6,iCompare!$A43)</f>
        <v>45</v>
      </c>
      <c r="G43" s="85" t="str">
        <f>INDEX(iCityP_Charts!$N$8:$CP$27,G$6,iCompare!$A43)</f>
        <v/>
      </c>
      <c r="H43" s="85">
        <f>INDEX(iCityP_Charts!$N$8:$CP$27,H$6,iCompare!$A43)</f>
        <v>30</v>
      </c>
      <c r="I43" s="85" t="str">
        <f>INDEX(iCityP_Charts!$N$8:$CP$27,I$6,iCompare!$A43)</f>
        <v/>
      </c>
      <c r="O43" s="85" t="str">
        <f t="shared" si="0"/>
        <v/>
      </c>
      <c r="P43" s="85" t="str">
        <f>IF($C43=0,"",RANK(O43,O$8:O$51,1)+COUNTIF(O$8:O43,O43)-1)</f>
        <v/>
      </c>
      <c r="Q43" s="85" t="str">
        <f t="shared" si="1"/>
        <v/>
      </c>
      <c r="R43" s="173" t="str">
        <f t="shared" si="2"/>
        <v/>
      </c>
      <c r="S43" s="173" t="str">
        <f t="shared" si="3"/>
        <v/>
      </c>
      <c r="T43" s="173">
        <f t="shared" si="4"/>
        <v>0</v>
      </c>
      <c r="U43" s="165" t="str">
        <f t="shared" si="5"/>
        <v/>
      </c>
      <c r="V43" s="85" t="str">
        <f t="shared" si="6"/>
        <v/>
      </c>
      <c r="W43" s="85" t="str">
        <f t="shared" si="6"/>
        <v/>
      </c>
      <c r="X43" s="85" t="str">
        <f t="shared" si="6"/>
        <v/>
      </c>
      <c r="Y43" s="85" t="str">
        <f t="shared" si="6"/>
        <v/>
      </c>
      <c r="Z43" s="85" t="str">
        <f t="shared" si="6"/>
        <v/>
      </c>
      <c r="AE43" s="166" t="str">
        <f>IF(T43=0,"",INDEX(tblIndiSets!$E$192:$E$234,iCompare!T43))</f>
        <v/>
      </c>
      <c r="AG43" s="174"/>
      <c r="AL43" s="173"/>
      <c r="AM43" s="173"/>
      <c r="AN43" s="173"/>
      <c r="AO43" s="165"/>
      <c r="AQ43" s="174"/>
      <c r="AV43" s="173"/>
      <c r="AW43" s="173"/>
      <c r="AX43" s="173"/>
      <c r="AY43" s="165"/>
      <c r="BA43" s="174"/>
      <c r="BF43" s="173"/>
      <c r="BG43" s="173"/>
      <c r="BH43" s="173"/>
      <c r="BI43" s="165"/>
      <c r="BK43" s="174"/>
      <c r="BP43" s="173"/>
      <c r="BQ43" s="173"/>
      <c r="BR43" s="173"/>
      <c r="BS43" s="165"/>
      <c r="BU43" s="174"/>
    </row>
    <row r="44" spans="1:73">
      <c r="A44" s="85">
        <f>tblCategories!A39</f>
        <v>37</v>
      </c>
      <c r="B44" s="85" t="str">
        <f>tblCategories!D39</f>
        <v>4.2.1) Prevalence of petty crime</v>
      </c>
      <c r="C44" s="85">
        <f>tblCategories!F39</f>
        <v>0</v>
      </c>
      <c r="D44" s="85">
        <v>1</v>
      </c>
      <c r="E44" s="85" t="str">
        <f>INDEX(iCityP_Charts!$N$8:$BE$27,E$6,iCompare!$A44)</f>
        <v>4.2.1) Prevalence of petty crime</v>
      </c>
      <c r="F44" s="85">
        <f>INDEX(iCityP_Charts!$N$8:$CP$27,F$6,iCompare!$A44)</f>
        <v>2</v>
      </c>
      <c r="G44" s="85" t="str">
        <f>INDEX(iCityP_Charts!$N$8:$CP$27,G$6,iCompare!$A44)</f>
        <v/>
      </c>
      <c r="H44" s="85">
        <f>INDEX(iCityP_Charts!$N$8:$CP$27,H$6,iCompare!$A44)</f>
        <v>2</v>
      </c>
      <c r="I44" s="85" t="str">
        <f>INDEX(iCityP_Charts!$N$8:$CP$27,I$6,iCompare!$A44)</f>
        <v/>
      </c>
      <c r="O44" s="85" t="str">
        <f t="shared" si="0"/>
        <v/>
      </c>
      <c r="P44" s="85" t="str">
        <f>IF($C44=0,"",RANK(O44,O$8:O$51,1)+COUNTIF(O$8:O44,O44)-1)</f>
        <v/>
      </c>
      <c r="Q44" s="85" t="str">
        <f t="shared" si="1"/>
        <v/>
      </c>
      <c r="R44" s="173" t="str">
        <f t="shared" si="2"/>
        <v/>
      </c>
      <c r="S44" s="173" t="str">
        <f t="shared" si="3"/>
        <v/>
      </c>
      <c r="T44" s="173">
        <f t="shared" si="4"/>
        <v>0</v>
      </c>
      <c r="U44" s="165" t="str">
        <f t="shared" si="5"/>
        <v/>
      </c>
      <c r="V44" s="85" t="str">
        <f t="shared" si="6"/>
        <v/>
      </c>
      <c r="W44" s="85" t="str">
        <f t="shared" si="6"/>
        <v/>
      </c>
      <c r="X44" s="85" t="str">
        <f t="shared" si="6"/>
        <v/>
      </c>
      <c r="Y44" s="85" t="str">
        <f t="shared" si="6"/>
        <v/>
      </c>
      <c r="Z44" s="85" t="str">
        <f t="shared" si="6"/>
        <v/>
      </c>
      <c r="AE44" s="166" t="str">
        <f>IF(T44=0,"",INDEX(tblIndiSets!$E$192:$E$234,iCompare!T44))</f>
        <v/>
      </c>
      <c r="AG44" s="174"/>
      <c r="AL44" s="173"/>
      <c r="AM44" s="173"/>
      <c r="AN44" s="173"/>
      <c r="AO44" s="165"/>
      <c r="AQ44" s="174"/>
      <c r="AV44" s="173"/>
      <c r="AW44" s="173"/>
      <c r="AX44" s="173"/>
      <c r="AY44" s="165"/>
      <c r="BA44" s="174"/>
      <c r="BF44" s="173"/>
      <c r="BG44" s="173"/>
      <c r="BH44" s="173"/>
      <c r="BI44" s="165"/>
      <c r="BK44" s="174"/>
      <c r="BP44" s="173"/>
      <c r="BQ44" s="173"/>
      <c r="BR44" s="173"/>
      <c r="BS44" s="165"/>
      <c r="BU44" s="174"/>
    </row>
    <row r="45" spans="1:73">
      <c r="A45" s="85">
        <f>tblCategories!A40</f>
        <v>38</v>
      </c>
      <c r="B45" s="85" t="str">
        <f>tblCategories!D40</f>
        <v>4.2.2) Prevalence of violence crime</v>
      </c>
      <c r="C45" s="85">
        <f>tblCategories!F40</f>
        <v>0</v>
      </c>
      <c r="D45" s="85">
        <v>1</v>
      </c>
      <c r="E45" s="85" t="str">
        <f>INDEX(iCityP_Charts!$N$8:$BE$27,E$6,iCompare!$A45)</f>
        <v>4.2.2) Prevalence of violence crime</v>
      </c>
      <c r="F45" s="85">
        <f>INDEX(iCityP_Charts!$N$8:$CP$27,F$6,iCompare!$A45)</f>
        <v>1</v>
      </c>
      <c r="G45" s="85" t="str">
        <f>INDEX(iCityP_Charts!$N$8:$CP$27,G$6,iCompare!$A45)</f>
        <v/>
      </c>
      <c r="H45" s="85">
        <f>INDEX(iCityP_Charts!$N$8:$CP$27,H$6,iCompare!$A45)</f>
        <v>2</v>
      </c>
      <c r="I45" s="85" t="str">
        <f>INDEX(iCityP_Charts!$N$8:$CP$27,I$6,iCompare!$A45)</f>
        <v>x</v>
      </c>
      <c r="O45" s="85" t="str">
        <f t="shared" si="0"/>
        <v/>
      </c>
      <c r="P45" s="85" t="str">
        <f>IF($C45=0,"",RANK(O45,O$8:O$51,1)+COUNTIF(O$8:O45,O45)-1)</f>
        <v/>
      </c>
      <c r="Q45" s="85" t="str">
        <f t="shared" si="1"/>
        <v/>
      </c>
      <c r="R45" s="173" t="str">
        <f t="shared" si="2"/>
        <v/>
      </c>
      <c r="S45" s="173" t="str">
        <f t="shared" si="3"/>
        <v/>
      </c>
      <c r="T45" s="173">
        <f t="shared" si="4"/>
        <v>0</v>
      </c>
      <c r="U45" s="165" t="str">
        <f t="shared" si="5"/>
        <v/>
      </c>
      <c r="V45" s="85" t="str">
        <f t="shared" si="6"/>
        <v/>
      </c>
      <c r="W45" s="85" t="str">
        <f t="shared" si="6"/>
        <v/>
      </c>
      <c r="X45" s="85" t="str">
        <f t="shared" si="6"/>
        <v/>
      </c>
      <c r="Y45" s="85" t="str">
        <f t="shared" si="6"/>
        <v/>
      </c>
      <c r="Z45" s="85" t="str">
        <f t="shared" si="6"/>
        <v/>
      </c>
      <c r="AE45" s="166" t="str">
        <f>IF(T45=0,"",INDEX(tblIndiSets!$E$192:$E$234,iCompare!T45))</f>
        <v/>
      </c>
      <c r="AG45" s="174"/>
      <c r="AL45" s="173"/>
      <c r="AM45" s="173"/>
      <c r="AN45" s="173"/>
      <c r="AO45" s="165"/>
      <c r="AQ45" s="174"/>
      <c r="AV45" s="173"/>
      <c r="AW45" s="173"/>
      <c r="AX45" s="173"/>
      <c r="AY45" s="165"/>
      <c r="BA45" s="174"/>
      <c r="BF45" s="173"/>
      <c r="BG45" s="173"/>
      <c r="BH45" s="173"/>
      <c r="BI45" s="165"/>
      <c r="BK45" s="174"/>
      <c r="BP45" s="173"/>
      <c r="BQ45" s="173"/>
      <c r="BR45" s="173"/>
      <c r="BS45" s="165"/>
      <c r="BU45" s="174"/>
    </row>
    <row r="46" spans="1:73">
      <c r="A46" s="85">
        <f>tblCategories!A41</f>
        <v>39</v>
      </c>
      <c r="B46" s="85" t="str">
        <f>tblCategories!D41</f>
        <v>4.2.3) Criminal gang activity</v>
      </c>
      <c r="C46" s="85">
        <f>tblCategories!F41</f>
        <v>0</v>
      </c>
      <c r="D46" s="85">
        <v>1</v>
      </c>
      <c r="E46" s="85" t="str">
        <f>INDEX(iCityP_Charts!$N$8:$BE$27,E$6,iCompare!$A46)</f>
        <v>4.2.3) Criminal gang activity</v>
      </c>
      <c r="F46" s="85">
        <f>INDEX(iCityP_Charts!$N$8:$CP$27,F$6,iCompare!$A46)</f>
        <v>1.1</v>
      </c>
      <c r="G46" s="85" t="str">
        <f>INDEX(iCityP_Charts!$N$8:$CP$27,G$6,iCompare!$A46)</f>
        <v>*</v>
      </c>
      <c r="H46" s="85">
        <f>INDEX(iCityP_Charts!$N$8:$CP$27,H$6,iCompare!$A46)</f>
        <v>9.85</v>
      </c>
      <c r="I46" s="85" t="str">
        <f>INDEX(iCityP_Charts!$N$8:$CP$27,I$6,iCompare!$A46)</f>
        <v/>
      </c>
      <c r="O46" s="85" t="str">
        <f t="shared" si="0"/>
        <v/>
      </c>
      <c r="P46" s="85" t="str">
        <f>IF($C46=0,"",RANK(O46,O$8:O$51,1)+COUNTIF(O$8:O46,O46)-1)</f>
        <v/>
      </c>
      <c r="Q46" s="85" t="str">
        <f t="shared" si="1"/>
        <v/>
      </c>
      <c r="R46" s="173" t="str">
        <f t="shared" si="2"/>
        <v/>
      </c>
      <c r="S46" s="173" t="str">
        <f t="shared" si="3"/>
        <v/>
      </c>
      <c r="T46" s="173">
        <f t="shared" si="4"/>
        <v>0</v>
      </c>
      <c r="U46" s="165" t="str">
        <f t="shared" si="5"/>
        <v/>
      </c>
      <c r="V46" s="85" t="str">
        <f t="shared" si="6"/>
        <v/>
      </c>
      <c r="W46" s="85" t="str">
        <f t="shared" si="6"/>
        <v/>
      </c>
      <c r="X46" s="85" t="str">
        <f t="shared" si="6"/>
        <v/>
      </c>
      <c r="Y46" s="85" t="str">
        <f t="shared" si="6"/>
        <v/>
      </c>
      <c r="Z46" s="85" t="str">
        <f t="shared" si="6"/>
        <v/>
      </c>
      <c r="AE46" s="166" t="str">
        <f>IF(T46=0,"",INDEX(tblIndiSets!$E$192:$E$234,iCompare!T46))</f>
        <v/>
      </c>
      <c r="AG46" s="174"/>
      <c r="AL46" s="173"/>
      <c r="AM46" s="173"/>
      <c r="AN46" s="173"/>
      <c r="AO46" s="165"/>
      <c r="AQ46" s="174"/>
      <c r="AV46" s="173"/>
      <c r="AW46" s="173"/>
      <c r="AX46" s="173"/>
      <c r="AY46" s="165"/>
      <c r="BA46" s="174"/>
      <c r="BF46" s="173"/>
      <c r="BG46" s="173"/>
      <c r="BH46" s="173"/>
      <c r="BI46" s="165"/>
      <c r="BK46" s="174"/>
      <c r="BP46" s="173"/>
      <c r="BQ46" s="173"/>
      <c r="BR46" s="173"/>
      <c r="BS46" s="165"/>
      <c r="BU46" s="174"/>
    </row>
    <row r="47" spans="1:73">
      <c r="A47" s="85">
        <f>tblCategories!A42</f>
        <v>40</v>
      </c>
      <c r="B47" s="85" t="str">
        <f>tblCategories!D42</f>
        <v>4.2.4) Level of corruption in police force</v>
      </c>
      <c r="C47" s="85">
        <f>tblCategories!F42</f>
        <v>0</v>
      </c>
      <c r="D47" s="85">
        <v>1</v>
      </c>
      <c r="E47" s="85" t="str">
        <f>INDEX(iCityP_Charts!$N$8:$BE$27,E$6,iCompare!$A47)</f>
        <v>4.2.4) Level of corruption in police force</v>
      </c>
      <c r="F47" s="85">
        <f>INDEX(iCityP_Charts!$N$8:$CP$27,F$6,iCompare!$A47)</f>
        <v>63</v>
      </c>
      <c r="G47" s="85" t="str">
        <f>INDEX(iCityP_Charts!$N$8:$CP$27,G$6,iCompare!$A47)</f>
        <v/>
      </c>
      <c r="H47" s="85">
        <f>INDEX(iCityP_Charts!$N$8:$CP$27,H$6,iCompare!$A47)</f>
        <v>68</v>
      </c>
      <c r="I47" s="85" t="str">
        <f>INDEX(iCityP_Charts!$N$8:$CP$27,I$6,iCompare!$A47)</f>
        <v/>
      </c>
      <c r="O47" s="85" t="str">
        <f t="shared" si="0"/>
        <v/>
      </c>
      <c r="P47" s="85" t="str">
        <f>IF($C47=0,"",RANK(O47,O$8:O$51,1)+COUNTIF(O$8:O47,O47)-1)</f>
        <v/>
      </c>
      <c r="Q47" s="85" t="str">
        <f t="shared" si="1"/>
        <v/>
      </c>
      <c r="R47" s="173" t="str">
        <f t="shared" si="2"/>
        <v/>
      </c>
      <c r="S47" s="173" t="str">
        <f t="shared" si="3"/>
        <v/>
      </c>
      <c r="T47" s="173">
        <f t="shared" si="4"/>
        <v>0</v>
      </c>
      <c r="U47" s="165" t="str">
        <f t="shared" si="5"/>
        <v/>
      </c>
      <c r="V47" s="85" t="str">
        <f t="shared" si="6"/>
        <v/>
      </c>
      <c r="W47" s="85" t="str">
        <f t="shared" si="6"/>
        <v/>
      </c>
      <c r="X47" s="85" t="str">
        <f t="shared" si="6"/>
        <v/>
      </c>
      <c r="Y47" s="85" t="str">
        <f t="shared" si="6"/>
        <v/>
      </c>
      <c r="Z47" s="85" t="str">
        <f t="shared" si="6"/>
        <v/>
      </c>
      <c r="AE47" s="166" t="str">
        <f>IF(T47=0,"",INDEX(tblIndiSets!$E$192:$E$234,iCompare!T47))</f>
        <v/>
      </c>
      <c r="AG47" s="174"/>
      <c r="AL47" s="173"/>
      <c r="AM47" s="173"/>
      <c r="AN47" s="173"/>
      <c r="AO47" s="165"/>
      <c r="AQ47" s="174"/>
      <c r="AV47" s="173"/>
      <c r="AW47" s="173"/>
      <c r="AX47" s="173"/>
      <c r="AY47" s="165"/>
      <c r="BA47" s="174"/>
      <c r="BF47" s="173"/>
      <c r="BG47" s="173"/>
      <c r="BH47" s="173"/>
      <c r="BI47" s="165"/>
      <c r="BK47" s="174"/>
      <c r="BP47" s="173"/>
      <c r="BQ47" s="173"/>
      <c r="BR47" s="173"/>
      <c r="BS47" s="165"/>
      <c r="BU47" s="174"/>
    </row>
    <row r="48" spans="1:73">
      <c r="A48" s="85">
        <f>tblCategories!A43</f>
        <v>41</v>
      </c>
      <c r="B48" s="85" t="str">
        <f>tblCategories!D43</f>
        <v>4.2.5) Rate of drug use</v>
      </c>
      <c r="C48" s="85">
        <f>tblCategories!F43</f>
        <v>0</v>
      </c>
      <c r="D48" s="85">
        <v>1</v>
      </c>
      <c r="E48" s="85" t="str">
        <f>INDEX(iCityP_Charts!$N$8:$BE$27,E$6,iCompare!$A48)</f>
        <v>4.2.5) Rate of drug use</v>
      </c>
      <c r="F48" s="85">
        <f>INDEX(iCityP_Charts!$N$8:$CP$27,F$6,iCompare!$A48)</f>
        <v>0.02</v>
      </c>
      <c r="G48" s="85" t="str">
        <f>INDEX(iCityP_Charts!$N$8:$CP$27,G$6,iCompare!$A48)</f>
        <v>*</v>
      </c>
      <c r="H48" s="85">
        <f>INDEX(iCityP_Charts!$N$8:$CP$27,H$6,iCompare!$A48)</f>
        <v>0.6</v>
      </c>
      <c r="I48" s="85" t="str">
        <f>INDEX(iCityP_Charts!$N$8:$CP$27,I$6,iCompare!$A48)</f>
        <v/>
      </c>
      <c r="O48" s="85" t="str">
        <f t="shared" si="0"/>
        <v/>
      </c>
      <c r="P48" s="85" t="str">
        <f>IF($C48=0,"",RANK(O48,O$8:O$51,1)+COUNTIF(O$8:O48,O48)-1)</f>
        <v/>
      </c>
      <c r="Q48" s="85" t="str">
        <f t="shared" si="1"/>
        <v/>
      </c>
      <c r="R48" s="173" t="str">
        <f t="shared" si="2"/>
        <v/>
      </c>
      <c r="S48" s="173" t="str">
        <f t="shared" si="3"/>
        <v/>
      </c>
      <c r="T48" s="173">
        <f t="shared" si="4"/>
        <v>0</v>
      </c>
      <c r="U48" s="165" t="str">
        <f t="shared" si="5"/>
        <v/>
      </c>
      <c r="V48" s="85" t="str">
        <f t="shared" si="6"/>
        <v/>
      </c>
      <c r="W48" s="85" t="str">
        <f t="shared" si="6"/>
        <v/>
      </c>
      <c r="X48" s="85" t="str">
        <f t="shared" si="6"/>
        <v/>
      </c>
      <c r="Y48" s="85" t="str">
        <f t="shared" si="6"/>
        <v/>
      </c>
      <c r="Z48" s="85" t="str">
        <f t="shared" si="6"/>
        <v/>
      </c>
      <c r="AE48" s="166" t="str">
        <f>IF(T48=0,"",INDEX(tblIndiSets!$E$192:$E$234,iCompare!T48))</f>
        <v/>
      </c>
      <c r="AG48" s="174"/>
      <c r="AL48" s="173"/>
      <c r="AM48" s="173"/>
      <c r="AN48" s="173"/>
      <c r="AO48" s="165"/>
      <c r="AQ48" s="174"/>
      <c r="AV48" s="173"/>
      <c r="AW48" s="173"/>
      <c r="AX48" s="173"/>
      <c r="AY48" s="165"/>
      <c r="BA48" s="174"/>
      <c r="BF48" s="173"/>
      <c r="BG48" s="173"/>
      <c r="BH48" s="173"/>
      <c r="BI48" s="165"/>
      <c r="BK48" s="174"/>
      <c r="BP48" s="173"/>
      <c r="BQ48" s="173"/>
      <c r="BR48" s="173"/>
      <c r="BS48" s="165"/>
      <c r="BU48" s="174"/>
    </row>
    <row r="49" spans="1:73">
      <c r="A49" s="85">
        <f>tblCategories!A44</f>
        <v>42</v>
      </c>
      <c r="B49" s="85" t="str">
        <f>tblCategories!D44</f>
        <v>4.2.6) Frequency of terrorist attacks</v>
      </c>
      <c r="C49" s="85">
        <f>tblCategories!F44</f>
        <v>0</v>
      </c>
      <c r="D49" s="85">
        <v>1</v>
      </c>
      <c r="E49" s="85" t="str">
        <f>INDEX(iCityP_Charts!$N$8:$BE$27,E$6,iCompare!$A49)</f>
        <v>4.2.6) Frequency of terrorist attacks</v>
      </c>
      <c r="F49" s="85">
        <f>INDEX(iCityP_Charts!$N$8:$CP$27,F$6,iCompare!$A49)</f>
        <v>0</v>
      </c>
      <c r="G49" s="85" t="str">
        <f>INDEX(iCityP_Charts!$N$8:$CP$27,G$6,iCompare!$A49)</f>
        <v>*</v>
      </c>
      <c r="H49" s="85">
        <f>INDEX(iCityP_Charts!$N$8:$CP$27,H$6,iCompare!$A49)</f>
        <v>1</v>
      </c>
      <c r="I49" s="85" t="str">
        <f>INDEX(iCityP_Charts!$N$8:$CP$27,I$6,iCompare!$A49)</f>
        <v>x</v>
      </c>
      <c r="O49" s="85" t="str">
        <f t="shared" si="0"/>
        <v/>
      </c>
      <c r="P49" s="85" t="str">
        <f>IF($C49=0,"",RANK(O49,O$8:O$51,1)+COUNTIF(O$8:O49,O49)-1)</f>
        <v/>
      </c>
      <c r="Q49" s="85" t="str">
        <f t="shared" si="1"/>
        <v/>
      </c>
      <c r="R49" s="173" t="str">
        <f t="shared" si="2"/>
        <v/>
      </c>
      <c r="S49" s="173" t="str">
        <f t="shared" si="3"/>
        <v/>
      </c>
      <c r="T49" s="173">
        <f t="shared" si="4"/>
        <v>0</v>
      </c>
      <c r="U49" s="165" t="str">
        <f t="shared" si="5"/>
        <v/>
      </c>
      <c r="V49" s="85" t="str">
        <f t="shared" si="6"/>
        <v/>
      </c>
      <c r="W49" s="85" t="str">
        <f t="shared" si="6"/>
        <v/>
      </c>
      <c r="X49" s="85" t="str">
        <f t="shared" si="6"/>
        <v/>
      </c>
      <c r="Y49" s="85" t="str">
        <f t="shared" si="6"/>
        <v/>
      </c>
      <c r="Z49" s="85" t="str">
        <f t="shared" si="6"/>
        <v/>
      </c>
      <c r="AE49" s="166" t="str">
        <f>IF(T49=0,"",INDEX(tblIndiSets!$E$192:$E$234,iCompare!T49))</f>
        <v/>
      </c>
      <c r="AG49" s="174"/>
      <c r="AL49" s="173"/>
      <c r="AM49" s="173"/>
      <c r="AN49" s="173"/>
      <c r="AO49" s="165"/>
      <c r="AQ49" s="174"/>
      <c r="AV49" s="173"/>
      <c r="AW49" s="173"/>
      <c r="AX49" s="173"/>
      <c r="AY49" s="165"/>
      <c r="BA49" s="174"/>
      <c r="BF49" s="173"/>
      <c r="BG49" s="173"/>
      <c r="BH49" s="173"/>
      <c r="BI49" s="165"/>
      <c r="BK49" s="174"/>
      <c r="BP49" s="173"/>
      <c r="BQ49" s="173"/>
      <c r="BR49" s="173"/>
      <c r="BS49" s="165"/>
      <c r="BU49" s="174"/>
    </row>
    <row r="50" spans="1:73">
      <c r="A50" s="85">
        <f>tblCategories!A45</f>
        <v>43</v>
      </c>
      <c r="B50" s="85" t="str">
        <f>tblCategories!D45</f>
        <v>4.2.7) Gender safety</v>
      </c>
      <c r="C50" s="85">
        <f>tblCategories!F45</f>
        <v>0</v>
      </c>
      <c r="D50" s="85">
        <v>1</v>
      </c>
      <c r="E50" s="85" t="str">
        <f>INDEX(iCityP_Charts!$N$8:$BE$27,E$6,iCompare!$A50)</f>
        <v>4.2.7) Gender safety</v>
      </c>
      <c r="F50" s="85">
        <f>INDEX(iCityP_Charts!$N$8:$CP$27,F$6,iCompare!$A50)</f>
        <v>6169</v>
      </c>
      <c r="G50" s="85" t="str">
        <f>INDEX(iCityP_Charts!$N$8:$CP$27,G$6,iCompare!$A50)</f>
        <v/>
      </c>
      <c r="H50" s="85">
        <f>INDEX(iCityP_Charts!$N$8:$CP$27,H$6,iCompare!$A50)</f>
        <v>10885</v>
      </c>
      <c r="I50" s="85" t="str">
        <f>INDEX(iCityP_Charts!$N$8:$CP$27,I$6,iCompare!$A50)</f>
        <v>x</v>
      </c>
      <c r="O50" s="85" t="str">
        <f t="shared" si="0"/>
        <v/>
      </c>
      <c r="P50" s="85" t="str">
        <f>IF($C50=0,"",RANK(O50,O$8:O$51,1)+COUNTIF(O$8:O50,O50)-1)</f>
        <v/>
      </c>
      <c r="Q50" s="85" t="str">
        <f t="shared" si="1"/>
        <v/>
      </c>
      <c r="R50" s="173" t="str">
        <f t="shared" si="2"/>
        <v/>
      </c>
      <c r="S50" s="173" t="str">
        <f t="shared" si="3"/>
        <v/>
      </c>
      <c r="T50" s="173">
        <f t="shared" si="4"/>
        <v>0</v>
      </c>
      <c r="U50" s="165" t="str">
        <f t="shared" si="5"/>
        <v/>
      </c>
      <c r="V50" s="85" t="str">
        <f t="shared" si="6"/>
        <v/>
      </c>
      <c r="W50" s="85" t="str">
        <f t="shared" si="6"/>
        <v/>
      </c>
      <c r="X50" s="85" t="str">
        <f t="shared" si="6"/>
        <v/>
      </c>
      <c r="Y50" s="85" t="str">
        <f t="shared" si="6"/>
        <v/>
      </c>
      <c r="Z50" s="85" t="str">
        <f t="shared" si="6"/>
        <v/>
      </c>
      <c r="AE50" s="166" t="str">
        <f>IF(T50=0,"",INDEX(tblIndiSets!$E$192:$E$234,iCompare!T50))</f>
        <v/>
      </c>
      <c r="AG50" s="174"/>
      <c r="AL50" s="173"/>
      <c r="AM50" s="173"/>
      <c r="AN50" s="173"/>
      <c r="AO50" s="165"/>
      <c r="AQ50" s="174"/>
      <c r="AV50" s="173"/>
      <c r="AW50" s="173"/>
      <c r="AX50" s="173"/>
      <c r="AY50" s="165"/>
      <c r="BA50" s="174"/>
      <c r="BF50" s="173"/>
      <c r="BG50" s="173"/>
      <c r="BH50" s="173"/>
      <c r="BI50" s="165"/>
      <c r="BK50" s="174"/>
      <c r="BP50" s="173"/>
      <c r="BQ50" s="173"/>
      <c r="BR50" s="173"/>
      <c r="BS50" s="165"/>
      <c r="BU50" s="174"/>
    </row>
    <row r="51" spans="1:73">
      <c r="A51" s="85">
        <f>tblCategories!A46</f>
        <v>44</v>
      </c>
      <c r="B51" s="85" t="str">
        <f>tblCategories!D46</f>
        <v>4.2.8) Perceptions of safety</v>
      </c>
      <c r="C51" s="85">
        <f>tblCategories!F46</f>
        <v>0</v>
      </c>
      <c r="D51" s="85">
        <v>1</v>
      </c>
      <c r="E51" s="85" t="str">
        <f>INDEX(iCityP_Charts!$N$8:$BE$27,E$6,iCompare!$A51)</f>
        <v>4.2.8) Perceptions of safety</v>
      </c>
      <c r="F51" s="85">
        <f>INDEX(iCityP_Charts!$N$8:$CP$27,F$6,iCompare!$A51)</f>
        <v>86.02</v>
      </c>
      <c r="G51" s="85" t="str">
        <f>INDEX(iCityP_Charts!$N$8:$CP$27,G$6,iCompare!$A51)</f>
        <v>*</v>
      </c>
      <c r="H51" s="85">
        <f>INDEX(iCityP_Charts!$N$8:$CP$27,H$6,iCompare!$A51)</f>
        <v>43.88</v>
      </c>
      <c r="I51" s="85" t="str">
        <f>INDEX(iCityP_Charts!$N$8:$CP$27,I$6,iCompare!$A51)</f>
        <v>x</v>
      </c>
      <c r="O51" s="85" t="str">
        <f t="shared" si="0"/>
        <v/>
      </c>
      <c r="P51" s="85" t="str">
        <f>IF($C51=0,"",RANK(O51,O$8:O$51,1)+COUNTIF(O$8:O51,O51)-1)</f>
        <v/>
      </c>
      <c r="Q51" s="85" t="str">
        <f t="shared" si="1"/>
        <v/>
      </c>
      <c r="R51" s="173" t="str">
        <f t="shared" si="2"/>
        <v/>
      </c>
      <c r="S51" s="173" t="str">
        <f t="shared" si="3"/>
        <v/>
      </c>
      <c r="T51" s="173">
        <f t="shared" si="4"/>
        <v>0</v>
      </c>
      <c r="U51" s="165" t="str">
        <f t="shared" si="5"/>
        <v/>
      </c>
      <c r="V51" s="85" t="str">
        <f t="shared" si="6"/>
        <v/>
      </c>
      <c r="W51" s="85" t="str">
        <f t="shared" si="6"/>
        <v/>
      </c>
      <c r="X51" s="85" t="str">
        <f t="shared" si="6"/>
        <v/>
      </c>
      <c r="Y51" s="85" t="str">
        <f t="shared" si="6"/>
        <v/>
      </c>
      <c r="Z51" s="85" t="str">
        <f t="shared" si="6"/>
        <v/>
      </c>
      <c r="AE51" s="166" t="str">
        <f>IF(T51=0,"",INDEX(tblIndiSets!$E$192:$E$234,iCompare!T51))</f>
        <v/>
      </c>
      <c r="AG51" s="174"/>
      <c r="AL51" s="173"/>
      <c r="AM51" s="173"/>
      <c r="AN51" s="173"/>
      <c r="AO51" s="165"/>
      <c r="AQ51" s="174"/>
      <c r="AV51" s="173"/>
      <c r="AW51" s="173"/>
      <c r="AX51" s="173"/>
      <c r="AY51" s="165"/>
      <c r="BA51" s="174"/>
      <c r="BF51" s="173"/>
      <c r="BG51" s="173"/>
      <c r="BH51" s="173"/>
      <c r="BI51" s="165"/>
      <c r="BK51" s="174"/>
      <c r="BP51" s="173"/>
      <c r="BQ51" s="173"/>
      <c r="BR51" s="173"/>
      <c r="BS51" s="165"/>
      <c r="BU51" s="174"/>
    </row>
    <row r="52" spans="18:73">
      <c r="R52" s="173"/>
      <c r="S52" s="173"/>
      <c r="T52" s="173"/>
      <c r="U52" s="165"/>
      <c r="AE52" s="166"/>
      <c r="AG52" s="174"/>
      <c r="AL52" s="173"/>
      <c r="AM52" s="173"/>
      <c r="AN52" s="173"/>
      <c r="AO52" s="165"/>
      <c r="AQ52" s="174"/>
      <c r="AV52" s="173"/>
      <c r="AW52" s="173"/>
      <c r="AX52" s="173"/>
      <c r="AY52" s="165"/>
      <c r="BA52" s="174"/>
      <c r="BF52" s="173"/>
      <c r="BG52" s="173"/>
      <c r="BH52" s="173"/>
      <c r="BI52" s="165"/>
      <c r="BK52" s="174"/>
      <c r="BP52" s="173"/>
      <c r="BQ52" s="173"/>
      <c r="BR52" s="173"/>
      <c r="BS52" s="165"/>
      <c r="BU52" s="174"/>
    </row>
    <row r="53" spans="18:73">
      <c r="R53" s="173"/>
      <c r="S53" s="173"/>
      <c r="T53" s="173"/>
      <c r="U53" s="165"/>
      <c r="AE53" s="166"/>
      <c r="AG53" s="174"/>
      <c r="AL53" s="173"/>
      <c r="AM53" s="173"/>
      <c r="AN53" s="173"/>
      <c r="AO53" s="165"/>
      <c r="AQ53" s="174"/>
      <c r="AV53" s="173"/>
      <c r="AW53" s="173"/>
      <c r="AX53" s="173"/>
      <c r="AY53" s="165"/>
      <c r="BA53" s="174"/>
      <c r="BF53" s="173"/>
      <c r="BG53" s="173"/>
      <c r="BH53" s="173"/>
      <c r="BI53" s="165"/>
      <c r="BK53" s="174"/>
      <c r="BP53" s="173"/>
      <c r="BQ53" s="173"/>
      <c r="BR53" s="173"/>
      <c r="BS53" s="165"/>
      <c r="BU53" s="174"/>
    </row>
    <row r="54" spans="18:73">
      <c r="R54" s="173"/>
      <c r="S54" s="173"/>
      <c r="T54" s="173"/>
      <c r="U54" s="165"/>
      <c r="AE54" s="166"/>
      <c r="AG54" s="174"/>
      <c r="AL54" s="173"/>
      <c r="AM54" s="173"/>
      <c r="AN54" s="173"/>
      <c r="AO54" s="165"/>
      <c r="AQ54" s="174"/>
      <c r="AV54" s="173"/>
      <c r="AW54" s="173"/>
      <c r="AX54" s="173"/>
      <c r="AY54" s="165"/>
      <c r="BA54" s="174"/>
      <c r="BF54" s="173"/>
      <c r="BG54" s="173"/>
      <c r="BH54" s="173"/>
      <c r="BI54" s="165"/>
      <c r="BK54" s="174"/>
      <c r="BP54" s="173"/>
      <c r="BQ54" s="173"/>
      <c r="BR54" s="173"/>
      <c r="BS54" s="165"/>
      <c r="BU54" s="174"/>
    </row>
    <row r="55" spans="18:73">
      <c r="R55" s="173"/>
      <c r="S55" s="173"/>
      <c r="T55" s="173"/>
      <c r="U55" s="165"/>
      <c r="AE55" s="166"/>
      <c r="AG55" s="174"/>
      <c r="AL55" s="173"/>
      <c r="AM55" s="173"/>
      <c r="AN55" s="173"/>
      <c r="AO55" s="165"/>
      <c r="AQ55" s="174"/>
      <c r="AV55" s="173"/>
      <c r="AW55" s="173"/>
      <c r="AX55" s="173"/>
      <c r="AY55" s="165"/>
      <c r="BA55" s="174"/>
      <c r="BF55" s="173"/>
      <c r="BG55" s="173"/>
      <c r="BH55" s="173"/>
      <c r="BI55" s="165"/>
      <c r="BK55" s="174"/>
      <c r="BP55" s="173"/>
      <c r="BQ55" s="173"/>
      <c r="BR55" s="173"/>
      <c r="BS55" s="165"/>
      <c r="BU55" s="174"/>
    </row>
    <row r="56" spans="18:73">
      <c r="R56" s="173"/>
      <c r="S56" s="173"/>
      <c r="T56" s="173"/>
      <c r="U56" s="165"/>
      <c r="AE56" s="166"/>
      <c r="AG56" s="174"/>
      <c r="AL56" s="173"/>
      <c r="AM56" s="173"/>
      <c r="AN56" s="173"/>
      <c r="AO56" s="165"/>
      <c r="AQ56" s="174"/>
      <c r="AV56" s="173"/>
      <c r="AW56" s="173"/>
      <c r="AX56" s="173"/>
      <c r="AY56" s="165"/>
      <c r="BA56" s="174"/>
      <c r="BF56" s="173"/>
      <c r="BG56" s="173"/>
      <c r="BH56" s="173"/>
      <c r="BI56" s="165"/>
      <c r="BK56" s="174"/>
      <c r="BP56" s="173"/>
      <c r="BQ56" s="173"/>
      <c r="BR56" s="173"/>
      <c r="BS56" s="165"/>
      <c r="BU56" s="174"/>
    </row>
    <row r="57" spans="18:73">
      <c r="R57" s="173"/>
      <c r="S57" s="173"/>
      <c r="T57" s="173"/>
      <c r="U57" s="165"/>
      <c r="AE57" s="166"/>
      <c r="AG57" s="174"/>
      <c r="AL57" s="173"/>
      <c r="AM57" s="173"/>
      <c r="AN57" s="173"/>
      <c r="AO57" s="165"/>
      <c r="AQ57" s="174"/>
      <c r="AV57" s="173"/>
      <c r="AW57" s="173"/>
      <c r="AX57" s="173"/>
      <c r="AY57" s="165"/>
      <c r="BA57" s="174"/>
      <c r="BF57" s="173"/>
      <c r="BG57" s="173"/>
      <c r="BH57" s="173"/>
      <c r="BI57" s="165"/>
      <c r="BK57" s="174"/>
      <c r="BP57" s="173"/>
      <c r="BQ57" s="173"/>
      <c r="BR57" s="173"/>
      <c r="BS57" s="165"/>
      <c r="BU57" s="174"/>
    </row>
    <row r="58" spans="18:73">
      <c r="R58" s="173"/>
      <c r="S58" s="173"/>
      <c r="T58" s="173"/>
      <c r="U58" s="165"/>
      <c r="AE58" s="166"/>
      <c r="AG58" s="174"/>
      <c r="AL58" s="173"/>
      <c r="AM58" s="173"/>
      <c r="AN58" s="173"/>
      <c r="AO58" s="165"/>
      <c r="AQ58" s="174"/>
      <c r="AV58" s="173"/>
      <c r="AW58" s="173"/>
      <c r="AX58" s="173"/>
      <c r="AY58" s="165"/>
      <c r="BA58" s="174"/>
      <c r="BF58" s="173"/>
      <c r="BG58" s="173"/>
      <c r="BH58" s="173"/>
      <c r="BI58" s="165"/>
      <c r="BK58" s="174"/>
      <c r="BP58" s="173"/>
      <c r="BQ58" s="173"/>
      <c r="BR58" s="173"/>
      <c r="BS58" s="165"/>
      <c r="BU58" s="174"/>
    </row>
    <row r="59" spans="18:73">
      <c r="R59" s="173"/>
      <c r="S59" s="173"/>
      <c r="T59" s="173"/>
      <c r="U59" s="165"/>
      <c r="AE59" s="166"/>
      <c r="AG59" s="174"/>
      <c r="AL59" s="173"/>
      <c r="AM59" s="173"/>
      <c r="AN59" s="173"/>
      <c r="AO59" s="165"/>
      <c r="AQ59" s="174"/>
      <c r="AV59" s="173"/>
      <c r="AW59" s="173"/>
      <c r="AX59" s="173"/>
      <c r="AY59" s="165"/>
      <c r="BA59" s="174"/>
      <c r="BF59" s="173"/>
      <c r="BG59" s="173"/>
      <c r="BH59" s="173"/>
      <c r="BI59" s="165"/>
      <c r="BK59" s="174"/>
      <c r="BP59" s="173"/>
      <c r="BQ59" s="173"/>
      <c r="BR59" s="173"/>
      <c r="BS59" s="165"/>
      <c r="BU59" s="174"/>
    </row>
    <row r="60" spans="18:73">
      <c r="R60" s="173"/>
      <c r="S60" s="173"/>
      <c r="T60" s="173"/>
      <c r="U60" s="165"/>
      <c r="AE60" s="166"/>
      <c r="AG60" s="174"/>
      <c r="AL60" s="173"/>
      <c r="AM60" s="173"/>
      <c r="AN60" s="173"/>
      <c r="AO60" s="165"/>
      <c r="AQ60" s="174"/>
      <c r="AV60" s="173"/>
      <c r="AW60" s="173"/>
      <c r="AX60" s="173"/>
      <c r="AY60" s="165"/>
      <c r="BA60" s="174"/>
      <c r="BF60" s="173"/>
      <c r="BG60" s="173"/>
      <c r="BH60" s="173"/>
      <c r="BI60" s="165"/>
      <c r="BK60" s="174"/>
      <c r="BP60" s="173"/>
      <c r="BQ60" s="173"/>
      <c r="BR60" s="173"/>
      <c r="BS60" s="165"/>
      <c r="BU60" s="174"/>
    </row>
    <row r="61" spans="18:73">
      <c r="R61" s="173"/>
      <c r="S61" s="173"/>
      <c r="T61" s="173"/>
      <c r="U61" s="165"/>
      <c r="AE61" s="166"/>
      <c r="AG61" s="174"/>
      <c r="AL61" s="173"/>
      <c r="AM61" s="173"/>
      <c r="AN61" s="173"/>
      <c r="AO61" s="165"/>
      <c r="AQ61" s="174"/>
      <c r="AV61" s="173"/>
      <c r="AW61" s="173"/>
      <c r="AX61" s="173"/>
      <c r="AY61" s="165"/>
      <c r="BA61" s="174"/>
      <c r="BF61" s="173"/>
      <c r="BG61" s="173"/>
      <c r="BH61" s="173"/>
      <c r="BI61" s="165"/>
      <c r="BK61" s="174"/>
      <c r="BP61" s="173"/>
      <c r="BQ61" s="173"/>
      <c r="BR61" s="173"/>
      <c r="BS61" s="165"/>
      <c r="BU61" s="174"/>
    </row>
    <row r="62" spans="18:73">
      <c r="R62" s="173"/>
      <c r="S62" s="173"/>
      <c r="T62" s="173"/>
      <c r="U62" s="165"/>
      <c r="AE62" s="166"/>
      <c r="AG62" s="174"/>
      <c r="AL62" s="173"/>
      <c r="AM62" s="173"/>
      <c r="AN62" s="173"/>
      <c r="AO62" s="165"/>
      <c r="AQ62" s="174"/>
      <c r="AV62" s="173"/>
      <c r="AW62" s="173"/>
      <c r="AX62" s="173"/>
      <c r="AY62" s="165"/>
      <c r="BA62" s="174"/>
      <c r="BF62" s="173"/>
      <c r="BG62" s="173"/>
      <c r="BH62" s="173"/>
      <c r="BI62" s="165"/>
      <c r="BK62" s="174"/>
      <c r="BP62" s="173"/>
      <c r="BQ62" s="173"/>
      <c r="BR62" s="173"/>
      <c r="BS62" s="165"/>
      <c r="BU62" s="174"/>
    </row>
    <row r="63" spans="18:73">
      <c r="R63" s="173"/>
      <c r="S63" s="173"/>
      <c r="T63" s="173"/>
      <c r="U63" s="165"/>
      <c r="AE63" s="166"/>
      <c r="AG63" s="174"/>
      <c r="AL63" s="173"/>
      <c r="AM63" s="173"/>
      <c r="AN63" s="173"/>
      <c r="AO63" s="165"/>
      <c r="AQ63" s="174"/>
      <c r="AV63" s="173"/>
      <c r="AW63" s="173"/>
      <c r="AX63" s="173"/>
      <c r="AY63" s="165"/>
      <c r="BA63" s="174"/>
      <c r="BF63" s="173"/>
      <c r="BG63" s="173"/>
      <c r="BH63" s="173"/>
      <c r="BI63" s="165"/>
      <c r="BK63" s="174"/>
      <c r="BP63" s="173"/>
      <c r="BQ63" s="173"/>
      <c r="BR63" s="173"/>
      <c r="BS63" s="165"/>
      <c r="BU63" s="174"/>
    </row>
    <row r="64" spans="18:73">
      <c r="R64" s="173"/>
      <c r="S64" s="173"/>
      <c r="T64" s="173"/>
      <c r="U64" s="165"/>
      <c r="AE64" s="166"/>
      <c r="AG64" s="174"/>
      <c r="AL64" s="173"/>
      <c r="AM64" s="173"/>
      <c r="AN64" s="173"/>
      <c r="AO64" s="165"/>
      <c r="AQ64" s="174"/>
      <c r="AV64" s="173"/>
      <c r="AW64" s="173"/>
      <c r="AX64" s="173"/>
      <c r="AY64" s="165"/>
      <c r="BA64" s="174"/>
      <c r="BF64" s="173"/>
      <c r="BG64" s="173"/>
      <c r="BH64" s="173"/>
      <c r="BI64" s="165"/>
      <c r="BK64" s="174"/>
      <c r="BP64" s="173"/>
      <c r="BQ64" s="173"/>
      <c r="BR64" s="173"/>
      <c r="BS64" s="165"/>
      <c r="BU64" s="174"/>
    </row>
    <row r="65" spans="18:73">
      <c r="R65" s="173"/>
      <c r="S65" s="173"/>
      <c r="T65" s="173"/>
      <c r="U65" s="165"/>
      <c r="AE65" s="166"/>
      <c r="AG65" s="174"/>
      <c r="AL65" s="173"/>
      <c r="AM65" s="173"/>
      <c r="AN65" s="173"/>
      <c r="AO65" s="165"/>
      <c r="AQ65" s="174"/>
      <c r="AV65" s="173"/>
      <c r="AW65" s="173"/>
      <c r="AX65" s="173"/>
      <c r="AY65" s="165"/>
      <c r="BA65" s="174"/>
      <c r="BF65" s="173"/>
      <c r="BG65" s="173"/>
      <c r="BH65" s="173"/>
      <c r="BI65" s="165"/>
      <c r="BK65" s="174"/>
      <c r="BP65" s="173"/>
      <c r="BQ65" s="173"/>
      <c r="BR65" s="173"/>
      <c r="BS65" s="165"/>
      <c r="BU65" s="174"/>
    </row>
    <row r="66" spans="18:73">
      <c r="R66" s="173"/>
      <c r="S66" s="173"/>
      <c r="T66" s="173"/>
      <c r="U66" s="165"/>
      <c r="AE66" s="166"/>
      <c r="AG66" s="174"/>
      <c r="AL66" s="173"/>
      <c r="AM66" s="173"/>
      <c r="AN66" s="173"/>
      <c r="AO66" s="165"/>
      <c r="AQ66" s="174"/>
      <c r="AV66" s="173"/>
      <c r="AW66" s="173"/>
      <c r="AX66" s="173"/>
      <c r="AY66" s="165"/>
      <c r="BA66" s="174"/>
      <c r="BF66" s="173"/>
      <c r="BG66" s="173"/>
      <c r="BH66" s="173"/>
      <c r="BI66" s="165"/>
      <c r="BK66" s="174"/>
      <c r="BP66" s="173"/>
      <c r="BQ66" s="173"/>
      <c r="BR66" s="173"/>
      <c r="BS66" s="165"/>
      <c r="BU66" s="174"/>
    </row>
    <row r="67" spans="18:73">
      <c r="R67" s="173"/>
      <c r="S67" s="173"/>
      <c r="T67" s="173"/>
      <c r="U67" s="165"/>
      <c r="AE67" s="166"/>
      <c r="AG67" s="174"/>
      <c r="AL67" s="173"/>
      <c r="AM67" s="173"/>
      <c r="AN67" s="173"/>
      <c r="AO67" s="165"/>
      <c r="AQ67" s="174"/>
      <c r="AV67" s="173"/>
      <c r="AW67" s="173"/>
      <c r="AX67" s="173"/>
      <c r="AY67" s="165"/>
      <c r="BA67" s="174"/>
      <c r="BF67" s="173"/>
      <c r="BG67" s="173"/>
      <c r="BH67" s="173"/>
      <c r="BI67" s="165"/>
      <c r="BK67" s="174"/>
      <c r="BP67" s="173"/>
      <c r="BQ67" s="173"/>
      <c r="BR67" s="173"/>
      <c r="BS67" s="165"/>
      <c r="BU67" s="174"/>
    </row>
    <row r="68" spans="18:73">
      <c r="R68" s="173"/>
      <c r="S68" s="173"/>
      <c r="T68" s="173"/>
      <c r="U68" s="165"/>
      <c r="AE68" s="166"/>
      <c r="AG68" s="174"/>
      <c r="AL68" s="173"/>
      <c r="AM68" s="173"/>
      <c r="AN68" s="173"/>
      <c r="AO68" s="165"/>
      <c r="AQ68" s="174"/>
      <c r="AV68" s="173"/>
      <c r="AW68" s="173"/>
      <c r="AX68" s="173"/>
      <c r="AY68" s="165"/>
      <c r="BA68" s="174"/>
      <c r="BF68" s="173"/>
      <c r="BG68" s="173"/>
      <c r="BH68" s="173"/>
      <c r="BI68" s="165"/>
      <c r="BK68" s="174"/>
      <c r="BP68" s="173"/>
      <c r="BQ68" s="173"/>
      <c r="BR68" s="173"/>
      <c r="BS68" s="165"/>
      <c r="BU68" s="174"/>
    </row>
    <row r="69" spans="18:73">
      <c r="R69" s="173"/>
      <c r="S69" s="173"/>
      <c r="T69" s="173"/>
      <c r="U69" s="165"/>
      <c r="AE69" s="166"/>
      <c r="AG69" s="174"/>
      <c r="AL69" s="173"/>
      <c r="AM69" s="173"/>
      <c r="AN69" s="173"/>
      <c r="AO69" s="165"/>
      <c r="AQ69" s="174"/>
      <c r="AV69" s="173"/>
      <c r="AW69" s="173"/>
      <c r="AX69" s="173"/>
      <c r="AY69" s="165"/>
      <c r="BA69" s="174"/>
      <c r="BF69" s="173"/>
      <c r="BG69" s="173"/>
      <c r="BH69" s="173"/>
      <c r="BI69" s="165"/>
      <c r="BK69" s="174"/>
      <c r="BP69" s="173"/>
      <c r="BQ69" s="173"/>
      <c r="BR69" s="173"/>
      <c r="BS69" s="165"/>
      <c r="BU69" s="174"/>
    </row>
    <row r="70" spans="18:73">
      <c r="R70" s="173"/>
      <c r="S70" s="173"/>
      <c r="T70" s="173"/>
      <c r="U70" s="165"/>
      <c r="AE70" s="166"/>
      <c r="AG70" s="174"/>
      <c r="AL70" s="173"/>
      <c r="AM70" s="173"/>
      <c r="AN70" s="173"/>
      <c r="AO70" s="165"/>
      <c r="AQ70" s="174"/>
      <c r="AV70" s="173"/>
      <c r="AW70" s="173"/>
      <c r="AX70" s="173"/>
      <c r="AY70" s="165"/>
      <c r="BA70" s="174"/>
      <c r="BF70" s="173"/>
      <c r="BG70" s="173"/>
      <c r="BH70" s="173"/>
      <c r="BI70" s="165"/>
      <c r="BK70" s="174"/>
      <c r="BP70" s="173"/>
      <c r="BQ70" s="173"/>
      <c r="BR70" s="173"/>
      <c r="BS70" s="165"/>
      <c r="BU70" s="174"/>
    </row>
    <row r="71" spans="18:73">
      <c r="R71" s="173"/>
      <c r="S71" s="173"/>
      <c r="T71" s="173"/>
      <c r="U71" s="165"/>
      <c r="AE71" s="166"/>
      <c r="AG71" s="174"/>
      <c r="AL71" s="173"/>
      <c r="AM71" s="173"/>
      <c r="AN71" s="173"/>
      <c r="AO71" s="165"/>
      <c r="AQ71" s="174"/>
      <c r="AV71" s="173"/>
      <c r="AW71" s="173"/>
      <c r="AX71" s="173"/>
      <c r="AY71" s="165"/>
      <c r="BA71" s="174"/>
      <c r="BF71" s="173"/>
      <c r="BG71" s="173"/>
      <c r="BH71" s="173"/>
      <c r="BI71" s="165"/>
      <c r="BK71" s="174"/>
      <c r="BP71" s="173"/>
      <c r="BQ71" s="173"/>
      <c r="BR71" s="173"/>
      <c r="BS71" s="165"/>
      <c r="BU71" s="174"/>
    </row>
    <row r="72" spans="18:73">
      <c r="R72" s="173"/>
      <c r="S72" s="173"/>
      <c r="T72" s="173"/>
      <c r="U72" s="165"/>
      <c r="AE72" s="166"/>
      <c r="AG72" s="174"/>
      <c r="AL72" s="173"/>
      <c r="AM72" s="173"/>
      <c r="AN72" s="173"/>
      <c r="AO72" s="165"/>
      <c r="AQ72" s="174"/>
      <c r="AV72" s="173"/>
      <c r="AW72" s="173"/>
      <c r="AX72" s="173"/>
      <c r="AY72" s="165"/>
      <c r="BA72" s="174"/>
      <c r="BF72" s="173"/>
      <c r="BG72" s="173"/>
      <c r="BH72" s="173"/>
      <c r="BI72" s="165"/>
      <c r="BK72" s="174"/>
      <c r="BP72" s="173"/>
      <c r="BQ72" s="173"/>
      <c r="BR72" s="173"/>
      <c r="BS72" s="165"/>
      <c r="BU72" s="174"/>
    </row>
    <row r="73" spans="18:73">
      <c r="R73" s="173"/>
      <c r="S73" s="173"/>
      <c r="T73" s="173"/>
      <c r="U73" s="165"/>
      <c r="AE73" s="166"/>
      <c r="AG73" s="174"/>
      <c r="AL73" s="173"/>
      <c r="AM73" s="173"/>
      <c r="AN73" s="173"/>
      <c r="AO73" s="165"/>
      <c r="AQ73" s="174"/>
      <c r="AV73" s="173"/>
      <c r="AW73" s="173"/>
      <c r="AX73" s="173"/>
      <c r="AY73" s="165"/>
      <c r="BA73" s="174"/>
      <c r="BF73" s="173"/>
      <c r="BG73" s="173"/>
      <c r="BH73" s="173"/>
      <c r="BI73" s="165"/>
      <c r="BK73" s="174"/>
      <c r="BP73" s="173"/>
      <c r="BQ73" s="173"/>
      <c r="BR73" s="173"/>
      <c r="BS73" s="165"/>
      <c r="BU73" s="174"/>
    </row>
    <row r="74" spans="18:73">
      <c r="R74" s="173"/>
      <c r="S74" s="173"/>
      <c r="T74" s="173"/>
      <c r="U74" s="165"/>
      <c r="AE74" s="166"/>
      <c r="AG74" s="174"/>
      <c r="AL74" s="173"/>
      <c r="AM74" s="173"/>
      <c r="AN74" s="173"/>
      <c r="AO74" s="165"/>
      <c r="AQ74" s="174"/>
      <c r="AV74" s="173"/>
      <c r="AW74" s="173"/>
      <c r="AX74" s="173"/>
      <c r="AY74" s="165"/>
      <c r="BA74" s="174"/>
      <c r="BF74" s="173"/>
      <c r="BG74" s="173"/>
      <c r="BH74" s="173"/>
      <c r="BI74" s="165"/>
      <c r="BK74" s="174"/>
      <c r="BP74" s="173"/>
      <c r="BQ74" s="173"/>
      <c r="BR74" s="173"/>
      <c r="BS74" s="165"/>
      <c r="BU74" s="174"/>
    </row>
    <row r="75" spans="18:73">
      <c r="R75" s="173"/>
      <c r="S75" s="173"/>
      <c r="T75" s="173"/>
      <c r="U75" s="165"/>
      <c r="AE75" s="166"/>
      <c r="AG75" s="174"/>
      <c r="AL75" s="173"/>
      <c r="AM75" s="173"/>
      <c r="AN75" s="173"/>
      <c r="AO75" s="165"/>
      <c r="AQ75" s="174"/>
      <c r="AV75" s="173"/>
      <c r="AW75" s="173"/>
      <c r="AX75" s="173"/>
      <c r="AY75" s="165"/>
      <c r="BA75" s="174"/>
      <c r="BF75" s="173"/>
      <c r="BG75" s="173"/>
      <c r="BH75" s="173"/>
      <c r="BI75" s="165"/>
      <c r="BK75" s="174"/>
      <c r="BP75" s="173"/>
      <c r="BQ75" s="173"/>
      <c r="BR75" s="173"/>
      <c r="BS75" s="165"/>
      <c r="BU75" s="174"/>
    </row>
    <row r="76" spans="18:73">
      <c r="R76" s="173"/>
      <c r="S76" s="173"/>
      <c r="T76" s="173"/>
      <c r="U76" s="165"/>
      <c r="AE76" s="166"/>
      <c r="AG76" s="174"/>
      <c r="AL76" s="173"/>
      <c r="AM76" s="173"/>
      <c r="AN76" s="173"/>
      <c r="AO76" s="165"/>
      <c r="AQ76" s="174"/>
      <c r="AV76" s="173"/>
      <c r="AW76" s="173"/>
      <c r="AX76" s="173"/>
      <c r="AY76" s="165"/>
      <c r="BA76" s="174"/>
      <c r="BF76" s="173"/>
      <c r="BG76" s="173"/>
      <c r="BH76" s="173"/>
      <c r="BI76" s="165"/>
      <c r="BK76" s="174"/>
      <c r="BP76" s="173"/>
      <c r="BQ76" s="173"/>
      <c r="BR76" s="173"/>
      <c r="BS76" s="165"/>
      <c r="BU76" s="174"/>
    </row>
    <row r="77" spans="18:73">
      <c r="R77" s="173"/>
      <c r="S77" s="173"/>
      <c r="T77" s="173"/>
      <c r="U77" s="165"/>
      <c r="AE77" s="166"/>
      <c r="AG77" s="174"/>
      <c r="AL77" s="173"/>
      <c r="AM77" s="173"/>
      <c r="AN77" s="173"/>
      <c r="AO77" s="165"/>
      <c r="AQ77" s="174"/>
      <c r="AV77" s="173"/>
      <c r="AW77" s="173"/>
      <c r="AX77" s="173"/>
      <c r="AY77" s="165"/>
      <c r="BA77" s="174"/>
      <c r="BF77" s="173"/>
      <c r="BG77" s="173"/>
      <c r="BH77" s="173"/>
      <c r="BI77" s="165"/>
      <c r="BK77" s="174"/>
      <c r="BP77" s="173"/>
      <c r="BQ77" s="173"/>
      <c r="BR77" s="173"/>
      <c r="BS77" s="165"/>
      <c r="BU77" s="174"/>
    </row>
    <row r="78" spans="18:73">
      <c r="R78" s="173"/>
      <c r="S78" s="173"/>
      <c r="T78" s="173"/>
      <c r="U78" s="165"/>
      <c r="AE78" s="166"/>
      <c r="AG78" s="174"/>
      <c r="AL78" s="173"/>
      <c r="AM78" s="173"/>
      <c r="AN78" s="173"/>
      <c r="AO78" s="165"/>
      <c r="AQ78" s="174"/>
      <c r="AV78" s="173"/>
      <c r="AW78" s="173"/>
      <c r="AX78" s="173"/>
      <c r="AY78" s="165"/>
      <c r="BA78" s="174"/>
      <c r="BF78" s="173"/>
      <c r="BG78" s="173"/>
      <c r="BH78" s="173"/>
      <c r="BI78" s="165"/>
      <c r="BK78" s="174"/>
      <c r="BP78" s="173"/>
      <c r="BQ78" s="173"/>
      <c r="BR78" s="173"/>
      <c r="BS78" s="165"/>
      <c r="BU78" s="174"/>
    </row>
    <row r="79" spans="18:73">
      <c r="R79" s="173"/>
      <c r="S79" s="173"/>
      <c r="T79" s="173"/>
      <c r="U79" s="165"/>
      <c r="AE79" s="166"/>
      <c r="AG79" s="174"/>
      <c r="AL79" s="173"/>
      <c r="AM79" s="173"/>
      <c r="AN79" s="173"/>
      <c r="AO79" s="165"/>
      <c r="AQ79" s="174"/>
      <c r="AV79" s="173"/>
      <c r="AW79" s="173"/>
      <c r="AX79" s="173"/>
      <c r="AY79" s="165"/>
      <c r="BA79" s="174"/>
      <c r="BF79" s="173"/>
      <c r="BG79" s="173"/>
      <c r="BH79" s="173"/>
      <c r="BI79" s="165"/>
      <c r="BK79" s="174"/>
      <c r="BP79" s="173"/>
      <c r="BQ79" s="173"/>
      <c r="BR79" s="173"/>
      <c r="BS79" s="165"/>
      <c r="BU79" s="174"/>
    </row>
    <row r="80" spans="18:73">
      <c r="R80" s="173"/>
      <c r="S80" s="173"/>
      <c r="T80" s="173"/>
      <c r="U80" s="165"/>
      <c r="AE80" s="166"/>
      <c r="AG80" s="174"/>
      <c r="AL80" s="173"/>
      <c r="AM80" s="173"/>
      <c r="AN80" s="173"/>
      <c r="AO80" s="165"/>
      <c r="AQ80" s="174"/>
      <c r="AV80" s="173"/>
      <c r="AW80" s="173"/>
      <c r="AX80" s="173"/>
      <c r="AY80" s="165"/>
      <c r="BA80" s="174"/>
      <c r="BF80" s="173"/>
      <c r="BG80" s="173"/>
      <c r="BH80" s="173"/>
      <c r="BI80" s="165"/>
      <c r="BK80" s="174"/>
      <c r="BP80" s="173"/>
      <c r="BQ80" s="173"/>
      <c r="BR80" s="173"/>
      <c r="BS80" s="165"/>
      <c r="BU80" s="174"/>
    </row>
    <row r="81" spans="18:73">
      <c r="R81" s="173"/>
      <c r="S81" s="173"/>
      <c r="T81" s="173"/>
      <c r="U81" s="165"/>
      <c r="AE81" s="166"/>
      <c r="AG81" s="174"/>
      <c r="AL81" s="173"/>
      <c r="AM81" s="173"/>
      <c r="AN81" s="173"/>
      <c r="AO81" s="165"/>
      <c r="AQ81" s="174"/>
      <c r="AV81" s="173"/>
      <c r="AW81" s="173"/>
      <c r="AX81" s="173"/>
      <c r="AY81" s="165"/>
      <c r="BA81" s="174"/>
      <c r="BF81" s="173"/>
      <c r="BG81" s="173"/>
      <c r="BH81" s="173"/>
      <c r="BI81" s="165"/>
      <c r="BK81" s="174"/>
      <c r="BP81" s="173"/>
      <c r="BQ81" s="173"/>
      <c r="BR81" s="173"/>
      <c r="BS81" s="165"/>
      <c r="BU81" s="174"/>
    </row>
    <row r="82" spans="18:73">
      <c r="R82" s="173"/>
      <c r="S82" s="173"/>
      <c r="T82" s="173"/>
      <c r="U82" s="165"/>
      <c r="AE82" s="166"/>
      <c r="AG82" s="174"/>
      <c r="AL82" s="173"/>
      <c r="AM82" s="173"/>
      <c r="AN82" s="173"/>
      <c r="AO82" s="165"/>
      <c r="AQ82" s="174"/>
      <c r="AV82" s="173"/>
      <c r="AW82" s="173"/>
      <c r="AX82" s="173"/>
      <c r="AY82" s="165"/>
      <c r="BA82" s="174"/>
      <c r="BF82" s="173"/>
      <c r="BG82" s="173"/>
      <c r="BH82" s="173"/>
      <c r="BI82" s="165"/>
      <c r="BK82" s="174"/>
      <c r="BP82" s="173"/>
      <c r="BQ82" s="173"/>
      <c r="BR82" s="173"/>
      <c r="BS82" s="165"/>
      <c r="BU82" s="174"/>
    </row>
    <row r="83" spans="18:73">
      <c r="R83" s="173"/>
      <c r="S83" s="173"/>
      <c r="T83" s="173"/>
      <c r="U83" s="165"/>
      <c r="AE83" s="166"/>
      <c r="AG83" s="174"/>
      <c r="AL83" s="173"/>
      <c r="AM83" s="173"/>
      <c r="AN83" s="173"/>
      <c r="AO83" s="165"/>
      <c r="AQ83" s="174"/>
      <c r="AV83" s="173"/>
      <c r="AW83" s="173"/>
      <c r="AX83" s="173"/>
      <c r="AY83" s="165"/>
      <c r="BA83" s="174"/>
      <c r="BF83" s="173"/>
      <c r="BG83" s="173"/>
      <c r="BH83" s="173"/>
      <c r="BI83" s="165"/>
      <c r="BK83" s="174"/>
      <c r="BP83" s="173"/>
      <c r="BQ83" s="173"/>
      <c r="BR83" s="173"/>
      <c r="BS83" s="165"/>
      <c r="BU83" s="174"/>
    </row>
    <row r="84" spans="18:73">
      <c r="R84" s="173"/>
      <c r="S84" s="173"/>
      <c r="T84" s="173"/>
      <c r="U84" s="165"/>
      <c r="AE84" s="166"/>
      <c r="AG84" s="174"/>
      <c r="AL84" s="173"/>
      <c r="AM84" s="173"/>
      <c r="AN84" s="173"/>
      <c r="AO84" s="165"/>
      <c r="AQ84" s="174"/>
      <c r="AV84" s="173"/>
      <c r="AW84" s="173"/>
      <c r="AX84" s="173"/>
      <c r="AY84" s="165"/>
      <c r="BA84" s="174"/>
      <c r="BF84" s="173"/>
      <c r="BG84" s="173"/>
      <c r="BH84" s="173"/>
      <c r="BI84" s="165"/>
      <c r="BK84" s="174"/>
      <c r="BP84" s="173"/>
      <c r="BQ84" s="173"/>
      <c r="BR84" s="173"/>
      <c r="BS84" s="165"/>
      <c r="BU84" s="174"/>
    </row>
    <row r="85" spans="18:73">
      <c r="R85" s="173"/>
      <c r="S85" s="173"/>
      <c r="T85" s="173"/>
      <c r="U85" s="165"/>
      <c r="AE85" s="166"/>
      <c r="AG85" s="174"/>
      <c r="AL85" s="173"/>
      <c r="AM85" s="173"/>
      <c r="AN85" s="173"/>
      <c r="AO85" s="165"/>
      <c r="AQ85" s="174"/>
      <c r="AV85" s="173"/>
      <c r="AW85" s="173"/>
      <c r="AX85" s="173"/>
      <c r="AY85" s="165"/>
      <c r="BA85" s="174"/>
      <c r="BF85" s="173"/>
      <c r="BG85" s="173"/>
      <c r="BH85" s="173"/>
      <c r="BI85" s="165"/>
      <c r="BK85" s="174"/>
      <c r="BP85" s="173"/>
      <c r="BQ85" s="173"/>
      <c r="BR85" s="173"/>
      <c r="BS85" s="165"/>
      <c r="BU85" s="174"/>
    </row>
    <row r="86" spans="18:73">
      <c r="R86" s="173"/>
      <c r="S86" s="173"/>
      <c r="T86" s="173"/>
      <c r="U86" s="165"/>
      <c r="AE86" s="166"/>
      <c r="AG86" s="174"/>
      <c r="AL86" s="173"/>
      <c r="AM86" s="173"/>
      <c r="AN86" s="173"/>
      <c r="AO86" s="165"/>
      <c r="AQ86" s="174"/>
      <c r="AV86" s="173"/>
      <c r="AW86" s="173"/>
      <c r="AX86" s="173"/>
      <c r="AY86" s="165"/>
      <c r="BA86" s="174"/>
      <c r="BF86" s="173"/>
      <c r="BG86" s="173"/>
      <c r="BH86" s="173"/>
      <c r="BI86" s="165"/>
      <c r="BK86" s="174"/>
      <c r="BP86" s="173"/>
      <c r="BQ86" s="173"/>
      <c r="BR86" s="173"/>
      <c r="BS86" s="165"/>
      <c r="BU86" s="174"/>
    </row>
    <row r="87" spans="18:73">
      <c r="R87" s="173"/>
      <c r="S87" s="173"/>
      <c r="T87" s="173"/>
      <c r="U87" s="165"/>
      <c r="AE87" s="166"/>
      <c r="AG87" s="174"/>
      <c r="AL87" s="173"/>
      <c r="AM87" s="173"/>
      <c r="AN87" s="173"/>
      <c r="AO87" s="165"/>
      <c r="AQ87" s="174"/>
      <c r="AV87" s="173"/>
      <c r="AW87" s="173"/>
      <c r="AX87" s="173"/>
      <c r="AY87" s="165"/>
      <c r="BA87" s="174"/>
      <c r="BF87" s="173"/>
      <c r="BG87" s="173"/>
      <c r="BH87" s="173"/>
      <c r="BI87" s="165"/>
      <c r="BK87" s="174"/>
      <c r="BP87" s="173"/>
      <c r="BQ87" s="173"/>
      <c r="BR87" s="173"/>
      <c r="BS87" s="165"/>
      <c r="BU87" s="174"/>
    </row>
    <row r="88" spans="18:73">
      <c r="R88" s="173"/>
      <c r="S88" s="173"/>
      <c r="T88" s="173"/>
      <c r="U88" s="165"/>
      <c r="AE88" s="166"/>
      <c r="AG88" s="174"/>
      <c r="AL88" s="173"/>
      <c r="AM88" s="173"/>
      <c r="AN88" s="173"/>
      <c r="AO88" s="165"/>
      <c r="AQ88" s="174"/>
      <c r="AV88" s="173"/>
      <c r="AW88" s="173"/>
      <c r="AX88" s="173"/>
      <c r="AY88" s="165"/>
      <c r="BA88" s="174"/>
      <c r="BF88" s="173"/>
      <c r="BG88" s="173"/>
      <c r="BH88" s="173"/>
      <c r="BI88" s="165"/>
      <c r="BK88" s="174"/>
      <c r="BP88" s="173"/>
      <c r="BQ88" s="173"/>
      <c r="BR88" s="173"/>
      <c r="BS88" s="165"/>
      <c r="BU88" s="174"/>
    </row>
    <row r="89" spans="18:73">
      <c r="R89" s="173"/>
      <c r="S89" s="173"/>
      <c r="T89" s="173"/>
      <c r="U89" s="165"/>
      <c r="W89" s="174"/>
      <c r="AB89" s="173"/>
      <c r="AC89" s="173"/>
      <c r="AD89" s="173"/>
      <c r="AE89" s="165"/>
      <c r="AG89" s="174"/>
      <c r="AL89" s="173"/>
      <c r="AM89" s="173"/>
      <c r="AN89" s="173"/>
      <c r="AO89" s="165"/>
      <c r="AQ89" s="174"/>
      <c r="AV89" s="173"/>
      <c r="AW89" s="173"/>
      <c r="AX89" s="173"/>
      <c r="AY89" s="165"/>
      <c r="BA89" s="174"/>
      <c r="BF89" s="173"/>
      <c r="BG89" s="173"/>
      <c r="BH89" s="173"/>
      <c r="BI89" s="165"/>
      <c r="BK89" s="174"/>
      <c r="BP89" s="173"/>
      <c r="BQ89" s="173"/>
      <c r="BR89" s="173"/>
      <c r="BS89" s="165"/>
      <c r="BU89" s="174"/>
    </row>
    <row r="90" spans="18:73">
      <c r="R90" s="173"/>
      <c r="S90" s="173"/>
      <c r="T90" s="173"/>
      <c r="U90" s="165"/>
      <c r="W90" s="174"/>
      <c r="AB90" s="173"/>
      <c r="AC90" s="173"/>
      <c r="AD90" s="173"/>
      <c r="AE90" s="165"/>
      <c r="AG90" s="174"/>
      <c r="AL90" s="173"/>
      <c r="AM90" s="173"/>
      <c r="AN90" s="173"/>
      <c r="AO90" s="165"/>
      <c r="AQ90" s="174"/>
      <c r="AV90" s="173"/>
      <c r="AW90" s="173"/>
      <c r="AX90" s="173"/>
      <c r="AY90" s="165"/>
      <c r="BA90" s="174"/>
      <c r="BF90" s="173"/>
      <c r="BG90" s="173"/>
      <c r="BH90" s="173"/>
      <c r="BI90" s="165"/>
      <c r="BK90" s="174"/>
      <c r="BP90" s="173"/>
      <c r="BQ90" s="173"/>
      <c r="BR90" s="173"/>
      <c r="BS90" s="165"/>
      <c r="BU90" s="174"/>
    </row>
  </sheetData>
  <sheetProtection selectLockedCells="1" selectUnlockedCells="1"/>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FFC000"/>
  </sheetPr>
  <dimension ref="A1:BF138"/>
  <sheetViews>
    <sheetView topLeftCell="B1" workbookViewId="0">
      <selection activeCell="F18" sqref="F18"/>
    </sheetView>
  </sheetViews>
  <sheetFormatPr defaultColWidth="9" defaultRowHeight="11.25"/>
  <cols>
    <col min="1" max="1" width="20.4285714285714" style="85" customWidth="1"/>
    <col min="2" max="2" width="9.14285714285714" style="85"/>
    <col min="3" max="3" width="13.4285714285714" style="85" customWidth="1"/>
    <col min="4" max="4" width="10.4285714285714" style="85" customWidth="1"/>
    <col min="5" max="5" width="19.7142857142857" style="85" customWidth="1"/>
    <col min="6" max="256" width="9.14285714285714" style="85"/>
    <col min="257" max="257" width="20.4285714285714" style="85" customWidth="1"/>
    <col min="258" max="258" width="9.14285714285714" style="85"/>
    <col min="259" max="259" width="13.4285714285714" style="85" customWidth="1"/>
    <col min="260" max="260" width="10.4285714285714" style="85" customWidth="1"/>
    <col min="261" max="261" width="19.7142857142857" style="85" customWidth="1"/>
    <col min="262" max="512" width="9.14285714285714" style="85"/>
    <col min="513" max="513" width="20.4285714285714" style="85" customWidth="1"/>
    <col min="514" max="514" width="9.14285714285714" style="85"/>
    <col min="515" max="515" width="13.4285714285714" style="85" customWidth="1"/>
    <col min="516" max="516" width="10.4285714285714" style="85" customWidth="1"/>
    <col min="517" max="517" width="19.7142857142857" style="85" customWidth="1"/>
    <col min="518" max="768" width="9.14285714285714" style="85"/>
    <col min="769" max="769" width="20.4285714285714" style="85" customWidth="1"/>
    <col min="770" max="770" width="9.14285714285714" style="85"/>
    <col min="771" max="771" width="13.4285714285714" style="85" customWidth="1"/>
    <col min="772" max="772" width="10.4285714285714" style="85" customWidth="1"/>
    <col min="773" max="773" width="19.7142857142857" style="85" customWidth="1"/>
    <col min="774" max="1024" width="9.14285714285714" style="85"/>
    <col min="1025" max="1025" width="20.4285714285714" style="85" customWidth="1"/>
    <col min="1026" max="1026" width="9.14285714285714" style="85"/>
    <col min="1027" max="1027" width="13.4285714285714" style="85" customWidth="1"/>
    <col min="1028" max="1028" width="10.4285714285714" style="85" customWidth="1"/>
    <col min="1029" max="1029" width="19.7142857142857" style="85" customWidth="1"/>
    <col min="1030" max="1280" width="9.14285714285714" style="85"/>
    <col min="1281" max="1281" width="20.4285714285714" style="85" customWidth="1"/>
    <col min="1282" max="1282" width="9.14285714285714" style="85"/>
    <col min="1283" max="1283" width="13.4285714285714" style="85" customWidth="1"/>
    <col min="1284" max="1284" width="10.4285714285714" style="85" customWidth="1"/>
    <col min="1285" max="1285" width="19.7142857142857" style="85" customWidth="1"/>
    <col min="1286" max="1536" width="9.14285714285714" style="85"/>
    <col min="1537" max="1537" width="20.4285714285714" style="85" customWidth="1"/>
    <col min="1538" max="1538" width="9.14285714285714" style="85"/>
    <col min="1539" max="1539" width="13.4285714285714" style="85" customWidth="1"/>
    <col min="1540" max="1540" width="10.4285714285714" style="85" customWidth="1"/>
    <col min="1541" max="1541" width="19.7142857142857" style="85" customWidth="1"/>
    <col min="1542" max="1792" width="9.14285714285714" style="85"/>
    <col min="1793" max="1793" width="20.4285714285714" style="85" customWidth="1"/>
    <col min="1794" max="1794" width="9.14285714285714" style="85"/>
    <col min="1795" max="1795" width="13.4285714285714" style="85" customWidth="1"/>
    <col min="1796" max="1796" width="10.4285714285714" style="85" customWidth="1"/>
    <col min="1797" max="1797" width="19.7142857142857" style="85" customWidth="1"/>
    <col min="1798" max="2048" width="9.14285714285714" style="85"/>
    <col min="2049" max="2049" width="20.4285714285714" style="85" customWidth="1"/>
    <col min="2050" max="2050" width="9.14285714285714" style="85"/>
    <col min="2051" max="2051" width="13.4285714285714" style="85" customWidth="1"/>
    <col min="2052" max="2052" width="10.4285714285714" style="85" customWidth="1"/>
    <col min="2053" max="2053" width="19.7142857142857" style="85" customWidth="1"/>
    <col min="2054" max="2304" width="9.14285714285714" style="85"/>
    <col min="2305" max="2305" width="20.4285714285714" style="85" customWidth="1"/>
    <col min="2306" max="2306" width="9.14285714285714" style="85"/>
    <col min="2307" max="2307" width="13.4285714285714" style="85" customWidth="1"/>
    <col min="2308" max="2308" width="10.4285714285714" style="85" customWidth="1"/>
    <col min="2309" max="2309" width="19.7142857142857" style="85" customWidth="1"/>
    <col min="2310" max="2560" width="9.14285714285714" style="85"/>
    <col min="2561" max="2561" width="20.4285714285714" style="85" customWidth="1"/>
    <col min="2562" max="2562" width="9.14285714285714" style="85"/>
    <col min="2563" max="2563" width="13.4285714285714" style="85" customWidth="1"/>
    <col min="2564" max="2564" width="10.4285714285714" style="85" customWidth="1"/>
    <col min="2565" max="2565" width="19.7142857142857" style="85" customWidth="1"/>
    <col min="2566" max="2816" width="9.14285714285714" style="85"/>
    <col min="2817" max="2817" width="20.4285714285714" style="85" customWidth="1"/>
    <col min="2818" max="2818" width="9.14285714285714" style="85"/>
    <col min="2819" max="2819" width="13.4285714285714" style="85" customWidth="1"/>
    <col min="2820" max="2820" width="10.4285714285714" style="85" customWidth="1"/>
    <col min="2821" max="2821" width="19.7142857142857" style="85" customWidth="1"/>
    <col min="2822" max="3072" width="9.14285714285714" style="85"/>
    <col min="3073" max="3073" width="20.4285714285714" style="85" customWidth="1"/>
    <col min="3074" max="3074" width="9.14285714285714" style="85"/>
    <col min="3075" max="3075" width="13.4285714285714" style="85" customWidth="1"/>
    <col min="3076" max="3076" width="10.4285714285714" style="85" customWidth="1"/>
    <col min="3077" max="3077" width="19.7142857142857" style="85" customWidth="1"/>
    <col min="3078" max="3328" width="9.14285714285714" style="85"/>
    <col min="3329" max="3329" width="20.4285714285714" style="85" customWidth="1"/>
    <col min="3330" max="3330" width="9.14285714285714" style="85"/>
    <col min="3331" max="3331" width="13.4285714285714" style="85" customWidth="1"/>
    <col min="3332" max="3332" width="10.4285714285714" style="85" customWidth="1"/>
    <col min="3333" max="3333" width="19.7142857142857" style="85" customWidth="1"/>
    <col min="3334" max="3584" width="9.14285714285714" style="85"/>
    <col min="3585" max="3585" width="20.4285714285714" style="85" customWidth="1"/>
    <col min="3586" max="3586" width="9.14285714285714" style="85"/>
    <col min="3587" max="3587" width="13.4285714285714" style="85" customWidth="1"/>
    <col min="3588" max="3588" width="10.4285714285714" style="85" customWidth="1"/>
    <col min="3589" max="3589" width="19.7142857142857" style="85" customWidth="1"/>
    <col min="3590" max="3840" width="9.14285714285714" style="85"/>
    <col min="3841" max="3841" width="20.4285714285714" style="85" customWidth="1"/>
    <col min="3842" max="3842" width="9.14285714285714" style="85"/>
    <col min="3843" max="3843" width="13.4285714285714" style="85" customWidth="1"/>
    <col min="3844" max="3844" width="10.4285714285714" style="85" customWidth="1"/>
    <col min="3845" max="3845" width="19.7142857142857" style="85" customWidth="1"/>
    <col min="3846" max="4096" width="9.14285714285714" style="85"/>
    <col min="4097" max="4097" width="20.4285714285714" style="85" customWidth="1"/>
    <col min="4098" max="4098" width="9.14285714285714" style="85"/>
    <col min="4099" max="4099" width="13.4285714285714" style="85" customWidth="1"/>
    <col min="4100" max="4100" width="10.4285714285714" style="85" customWidth="1"/>
    <col min="4101" max="4101" width="19.7142857142857" style="85" customWidth="1"/>
    <col min="4102" max="4352" width="9.14285714285714" style="85"/>
    <col min="4353" max="4353" width="20.4285714285714" style="85" customWidth="1"/>
    <col min="4354" max="4354" width="9.14285714285714" style="85"/>
    <col min="4355" max="4355" width="13.4285714285714" style="85" customWidth="1"/>
    <col min="4356" max="4356" width="10.4285714285714" style="85" customWidth="1"/>
    <col min="4357" max="4357" width="19.7142857142857" style="85" customWidth="1"/>
    <col min="4358" max="4608" width="9.14285714285714" style="85"/>
    <col min="4609" max="4609" width="20.4285714285714" style="85" customWidth="1"/>
    <col min="4610" max="4610" width="9.14285714285714" style="85"/>
    <col min="4611" max="4611" width="13.4285714285714" style="85" customWidth="1"/>
    <col min="4612" max="4612" width="10.4285714285714" style="85" customWidth="1"/>
    <col min="4613" max="4613" width="19.7142857142857" style="85" customWidth="1"/>
    <col min="4614" max="4864" width="9.14285714285714" style="85"/>
    <col min="4865" max="4865" width="20.4285714285714" style="85" customWidth="1"/>
    <col min="4866" max="4866" width="9.14285714285714" style="85"/>
    <col min="4867" max="4867" width="13.4285714285714" style="85" customWidth="1"/>
    <col min="4868" max="4868" width="10.4285714285714" style="85" customWidth="1"/>
    <col min="4869" max="4869" width="19.7142857142857" style="85" customWidth="1"/>
    <col min="4870" max="5120" width="9.14285714285714" style="85"/>
    <col min="5121" max="5121" width="20.4285714285714" style="85" customWidth="1"/>
    <col min="5122" max="5122" width="9.14285714285714" style="85"/>
    <col min="5123" max="5123" width="13.4285714285714" style="85" customWidth="1"/>
    <col min="5124" max="5124" width="10.4285714285714" style="85" customWidth="1"/>
    <col min="5125" max="5125" width="19.7142857142857" style="85" customWidth="1"/>
    <col min="5126" max="5376" width="9.14285714285714" style="85"/>
    <col min="5377" max="5377" width="20.4285714285714" style="85" customWidth="1"/>
    <col min="5378" max="5378" width="9.14285714285714" style="85"/>
    <col min="5379" max="5379" width="13.4285714285714" style="85" customWidth="1"/>
    <col min="5380" max="5380" width="10.4285714285714" style="85" customWidth="1"/>
    <col min="5381" max="5381" width="19.7142857142857" style="85" customWidth="1"/>
    <col min="5382" max="5632" width="9.14285714285714" style="85"/>
    <col min="5633" max="5633" width="20.4285714285714" style="85" customWidth="1"/>
    <col min="5634" max="5634" width="9.14285714285714" style="85"/>
    <col min="5635" max="5635" width="13.4285714285714" style="85" customWidth="1"/>
    <col min="5636" max="5636" width="10.4285714285714" style="85" customWidth="1"/>
    <col min="5637" max="5637" width="19.7142857142857" style="85" customWidth="1"/>
    <col min="5638" max="5888" width="9.14285714285714" style="85"/>
    <col min="5889" max="5889" width="20.4285714285714" style="85" customWidth="1"/>
    <col min="5890" max="5890" width="9.14285714285714" style="85"/>
    <col min="5891" max="5891" width="13.4285714285714" style="85" customWidth="1"/>
    <col min="5892" max="5892" width="10.4285714285714" style="85" customWidth="1"/>
    <col min="5893" max="5893" width="19.7142857142857" style="85" customWidth="1"/>
    <col min="5894" max="6144" width="9.14285714285714" style="85"/>
    <col min="6145" max="6145" width="20.4285714285714" style="85" customWidth="1"/>
    <col min="6146" max="6146" width="9.14285714285714" style="85"/>
    <col min="6147" max="6147" width="13.4285714285714" style="85" customWidth="1"/>
    <col min="6148" max="6148" width="10.4285714285714" style="85" customWidth="1"/>
    <col min="6149" max="6149" width="19.7142857142857" style="85" customWidth="1"/>
    <col min="6150" max="6400" width="9.14285714285714" style="85"/>
    <col min="6401" max="6401" width="20.4285714285714" style="85" customWidth="1"/>
    <col min="6402" max="6402" width="9.14285714285714" style="85"/>
    <col min="6403" max="6403" width="13.4285714285714" style="85" customWidth="1"/>
    <col min="6404" max="6404" width="10.4285714285714" style="85" customWidth="1"/>
    <col min="6405" max="6405" width="19.7142857142857" style="85" customWidth="1"/>
    <col min="6406" max="6656" width="9.14285714285714" style="85"/>
    <col min="6657" max="6657" width="20.4285714285714" style="85" customWidth="1"/>
    <col min="6658" max="6658" width="9.14285714285714" style="85"/>
    <col min="6659" max="6659" width="13.4285714285714" style="85" customWidth="1"/>
    <col min="6660" max="6660" width="10.4285714285714" style="85" customWidth="1"/>
    <col min="6661" max="6661" width="19.7142857142857" style="85" customWidth="1"/>
    <col min="6662" max="6912" width="9.14285714285714" style="85"/>
    <col min="6913" max="6913" width="20.4285714285714" style="85" customWidth="1"/>
    <col min="6914" max="6914" width="9.14285714285714" style="85"/>
    <col min="6915" max="6915" width="13.4285714285714" style="85" customWidth="1"/>
    <col min="6916" max="6916" width="10.4285714285714" style="85" customWidth="1"/>
    <col min="6917" max="6917" width="19.7142857142857" style="85" customWidth="1"/>
    <col min="6918" max="7168" width="9.14285714285714" style="85"/>
    <col min="7169" max="7169" width="20.4285714285714" style="85" customWidth="1"/>
    <col min="7170" max="7170" width="9.14285714285714" style="85"/>
    <col min="7171" max="7171" width="13.4285714285714" style="85" customWidth="1"/>
    <col min="7172" max="7172" width="10.4285714285714" style="85" customWidth="1"/>
    <col min="7173" max="7173" width="19.7142857142857" style="85" customWidth="1"/>
    <col min="7174" max="7424" width="9.14285714285714" style="85"/>
    <col min="7425" max="7425" width="20.4285714285714" style="85" customWidth="1"/>
    <col min="7426" max="7426" width="9.14285714285714" style="85"/>
    <col min="7427" max="7427" width="13.4285714285714" style="85" customWidth="1"/>
    <col min="7428" max="7428" width="10.4285714285714" style="85" customWidth="1"/>
    <col min="7429" max="7429" width="19.7142857142857" style="85" customWidth="1"/>
    <col min="7430" max="7680" width="9.14285714285714" style="85"/>
    <col min="7681" max="7681" width="20.4285714285714" style="85" customWidth="1"/>
    <col min="7682" max="7682" width="9.14285714285714" style="85"/>
    <col min="7683" max="7683" width="13.4285714285714" style="85" customWidth="1"/>
    <col min="7684" max="7684" width="10.4285714285714" style="85" customWidth="1"/>
    <col min="7685" max="7685" width="19.7142857142857" style="85" customWidth="1"/>
    <col min="7686" max="7936" width="9.14285714285714" style="85"/>
    <col min="7937" max="7937" width="20.4285714285714" style="85" customWidth="1"/>
    <col min="7938" max="7938" width="9.14285714285714" style="85"/>
    <col min="7939" max="7939" width="13.4285714285714" style="85" customWidth="1"/>
    <col min="7940" max="7940" width="10.4285714285714" style="85" customWidth="1"/>
    <col min="7941" max="7941" width="19.7142857142857" style="85" customWidth="1"/>
    <col min="7942" max="8192" width="9.14285714285714" style="85"/>
    <col min="8193" max="8193" width="20.4285714285714" style="85" customWidth="1"/>
    <col min="8194" max="8194" width="9.14285714285714" style="85"/>
    <col min="8195" max="8195" width="13.4285714285714" style="85" customWidth="1"/>
    <col min="8196" max="8196" width="10.4285714285714" style="85" customWidth="1"/>
    <col min="8197" max="8197" width="19.7142857142857" style="85" customWidth="1"/>
    <col min="8198" max="8448" width="9.14285714285714" style="85"/>
    <col min="8449" max="8449" width="20.4285714285714" style="85" customWidth="1"/>
    <col min="8450" max="8450" width="9.14285714285714" style="85"/>
    <col min="8451" max="8451" width="13.4285714285714" style="85" customWidth="1"/>
    <col min="8452" max="8452" width="10.4285714285714" style="85" customWidth="1"/>
    <col min="8453" max="8453" width="19.7142857142857" style="85" customWidth="1"/>
    <col min="8454" max="8704" width="9.14285714285714" style="85"/>
    <col min="8705" max="8705" width="20.4285714285714" style="85" customWidth="1"/>
    <col min="8706" max="8706" width="9.14285714285714" style="85"/>
    <col min="8707" max="8707" width="13.4285714285714" style="85" customWidth="1"/>
    <col min="8708" max="8708" width="10.4285714285714" style="85" customWidth="1"/>
    <col min="8709" max="8709" width="19.7142857142857" style="85" customWidth="1"/>
    <col min="8710" max="8960" width="9.14285714285714" style="85"/>
    <col min="8961" max="8961" width="20.4285714285714" style="85" customWidth="1"/>
    <col min="8962" max="8962" width="9.14285714285714" style="85"/>
    <col min="8963" max="8963" width="13.4285714285714" style="85" customWidth="1"/>
    <col min="8964" max="8964" width="10.4285714285714" style="85" customWidth="1"/>
    <col min="8965" max="8965" width="19.7142857142857" style="85" customWidth="1"/>
    <col min="8966" max="9216" width="9.14285714285714" style="85"/>
    <col min="9217" max="9217" width="20.4285714285714" style="85" customWidth="1"/>
    <col min="9218" max="9218" width="9.14285714285714" style="85"/>
    <col min="9219" max="9219" width="13.4285714285714" style="85" customWidth="1"/>
    <col min="9220" max="9220" width="10.4285714285714" style="85" customWidth="1"/>
    <col min="9221" max="9221" width="19.7142857142857" style="85" customWidth="1"/>
    <col min="9222" max="9472" width="9.14285714285714" style="85"/>
    <col min="9473" max="9473" width="20.4285714285714" style="85" customWidth="1"/>
    <col min="9474" max="9474" width="9.14285714285714" style="85"/>
    <col min="9475" max="9475" width="13.4285714285714" style="85" customWidth="1"/>
    <col min="9476" max="9476" width="10.4285714285714" style="85" customWidth="1"/>
    <col min="9477" max="9477" width="19.7142857142857" style="85" customWidth="1"/>
    <col min="9478" max="9728" width="9.14285714285714" style="85"/>
    <col min="9729" max="9729" width="20.4285714285714" style="85" customWidth="1"/>
    <col min="9730" max="9730" width="9.14285714285714" style="85"/>
    <col min="9731" max="9731" width="13.4285714285714" style="85" customWidth="1"/>
    <col min="9732" max="9732" width="10.4285714285714" style="85" customWidth="1"/>
    <col min="9733" max="9733" width="19.7142857142857" style="85" customWidth="1"/>
    <col min="9734" max="9984" width="9.14285714285714" style="85"/>
    <col min="9985" max="9985" width="20.4285714285714" style="85" customWidth="1"/>
    <col min="9986" max="9986" width="9.14285714285714" style="85"/>
    <col min="9987" max="9987" width="13.4285714285714" style="85" customWidth="1"/>
    <col min="9988" max="9988" width="10.4285714285714" style="85" customWidth="1"/>
    <col min="9989" max="9989" width="19.7142857142857" style="85" customWidth="1"/>
    <col min="9990" max="10240" width="9.14285714285714" style="85"/>
    <col min="10241" max="10241" width="20.4285714285714" style="85" customWidth="1"/>
    <col min="10242" max="10242" width="9.14285714285714" style="85"/>
    <col min="10243" max="10243" width="13.4285714285714" style="85" customWidth="1"/>
    <col min="10244" max="10244" width="10.4285714285714" style="85" customWidth="1"/>
    <col min="10245" max="10245" width="19.7142857142857" style="85" customWidth="1"/>
    <col min="10246" max="10496" width="9.14285714285714" style="85"/>
    <col min="10497" max="10497" width="20.4285714285714" style="85" customWidth="1"/>
    <col min="10498" max="10498" width="9.14285714285714" style="85"/>
    <col min="10499" max="10499" width="13.4285714285714" style="85" customWidth="1"/>
    <col min="10500" max="10500" width="10.4285714285714" style="85" customWidth="1"/>
    <col min="10501" max="10501" width="19.7142857142857" style="85" customWidth="1"/>
    <col min="10502" max="10752" width="9.14285714285714" style="85"/>
    <col min="10753" max="10753" width="20.4285714285714" style="85" customWidth="1"/>
    <col min="10754" max="10754" width="9.14285714285714" style="85"/>
    <col min="10755" max="10755" width="13.4285714285714" style="85" customWidth="1"/>
    <col min="10756" max="10756" width="10.4285714285714" style="85" customWidth="1"/>
    <col min="10757" max="10757" width="19.7142857142857" style="85" customWidth="1"/>
    <col min="10758" max="11008" width="9.14285714285714" style="85"/>
    <col min="11009" max="11009" width="20.4285714285714" style="85" customWidth="1"/>
    <col min="11010" max="11010" width="9.14285714285714" style="85"/>
    <col min="11011" max="11011" width="13.4285714285714" style="85" customWidth="1"/>
    <col min="11012" max="11012" width="10.4285714285714" style="85" customWidth="1"/>
    <col min="11013" max="11013" width="19.7142857142857" style="85" customWidth="1"/>
    <col min="11014" max="11264" width="9.14285714285714" style="85"/>
    <col min="11265" max="11265" width="20.4285714285714" style="85" customWidth="1"/>
    <col min="11266" max="11266" width="9.14285714285714" style="85"/>
    <col min="11267" max="11267" width="13.4285714285714" style="85" customWidth="1"/>
    <col min="11268" max="11268" width="10.4285714285714" style="85" customWidth="1"/>
    <col min="11269" max="11269" width="19.7142857142857" style="85" customWidth="1"/>
    <col min="11270" max="11520" width="9.14285714285714" style="85"/>
    <col min="11521" max="11521" width="20.4285714285714" style="85" customWidth="1"/>
    <col min="11522" max="11522" width="9.14285714285714" style="85"/>
    <col min="11523" max="11523" width="13.4285714285714" style="85" customWidth="1"/>
    <col min="11524" max="11524" width="10.4285714285714" style="85" customWidth="1"/>
    <col min="11525" max="11525" width="19.7142857142857" style="85" customWidth="1"/>
    <col min="11526" max="11776" width="9.14285714285714" style="85"/>
    <col min="11777" max="11777" width="20.4285714285714" style="85" customWidth="1"/>
    <col min="11778" max="11778" width="9.14285714285714" style="85"/>
    <col min="11779" max="11779" width="13.4285714285714" style="85" customWidth="1"/>
    <col min="11780" max="11780" width="10.4285714285714" style="85" customWidth="1"/>
    <col min="11781" max="11781" width="19.7142857142857" style="85" customWidth="1"/>
    <col min="11782" max="12032" width="9.14285714285714" style="85"/>
    <col min="12033" max="12033" width="20.4285714285714" style="85" customWidth="1"/>
    <col min="12034" max="12034" width="9.14285714285714" style="85"/>
    <col min="12035" max="12035" width="13.4285714285714" style="85" customWidth="1"/>
    <col min="12036" max="12036" width="10.4285714285714" style="85" customWidth="1"/>
    <col min="12037" max="12037" width="19.7142857142857" style="85" customWidth="1"/>
    <col min="12038" max="12288" width="9.14285714285714" style="85"/>
    <col min="12289" max="12289" width="20.4285714285714" style="85" customWidth="1"/>
    <col min="12290" max="12290" width="9.14285714285714" style="85"/>
    <col min="12291" max="12291" width="13.4285714285714" style="85" customWidth="1"/>
    <col min="12292" max="12292" width="10.4285714285714" style="85" customWidth="1"/>
    <col min="12293" max="12293" width="19.7142857142857" style="85" customWidth="1"/>
    <col min="12294" max="12544" width="9.14285714285714" style="85"/>
    <col min="12545" max="12545" width="20.4285714285714" style="85" customWidth="1"/>
    <col min="12546" max="12546" width="9.14285714285714" style="85"/>
    <col min="12547" max="12547" width="13.4285714285714" style="85" customWidth="1"/>
    <col min="12548" max="12548" width="10.4285714285714" style="85" customWidth="1"/>
    <col min="12549" max="12549" width="19.7142857142857" style="85" customWidth="1"/>
    <col min="12550" max="12800" width="9.14285714285714" style="85"/>
    <col min="12801" max="12801" width="20.4285714285714" style="85" customWidth="1"/>
    <col min="12802" max="12802" width="9.14285714285714" style="85"/>
    <col min="12803" max="12803" width="13.4285714285714" style="85" customWidth="1"/>
    <col min="12804" max="12804" width="10.4285714285714" style="85" customWidth="1"/>
    <col min="12805" max="12805" width="19.7142857142857" style="85" customWidth="1"/>
    <col min="12806" max="13056" width="9.14285714285714" style="85"/>
    <col min="13057" max="13057" width="20.4285714285714" style="85" customWidth="1"/>
    <col min="13058" max="13058" width="9.14285714285714" style="85"/>
    <col min="13059" max="13059" width="13.4285714285714" style="85" customWidth="1"/>
    <col min="13060" max="13060" width="10.4285714285714" style="85" customWidth="1"/>
    <col min="13061" max="13061" width="19.7142857142857" style="85" customWidth="1"/>
    <col min="13062" max="13312" width="9.14285714285714" style="85"/>
    <col min="13313" max="13313" width="20.4285714285714" style="85" customWidth="1"/>
    <col min="13314" max="13314" width="9.14285714285714" style="85"/>
    <col min="13315" max="13315" width="13.4285714285714" style="85" customWidth="1"/>
    <col min="13316" max="13316" width="10.4285714285714" style="85" customWidth="1"/>
    <col min="13317" max="13317" width="19.7142857142857" style="85" customWidth="1"/>
    <col min="13318" max="13568" width="9.14285714285714" style="85"/>
    <col min="13569" max="13569" width="20.4285714285714" style="85" customWidth="1"/>
    <col min="13570" max="13570" width="9.14285714285714" style="85"/>
    <col min="13571" max="13571" width="13.4285714285714" style="85" customWidth="1"/>
    <col min="13572" max="13572" width="10.4285714285714" style="85" customWidth="1"/>
    <col min="13573" max="13573" width="19.7142857142857" style="85" customWidth="1"/>
    <col min="13574" max="13824" width="9.14285714285714" style="85"/>
    <col min="13825" max="13825" width="20.4285714285714" style="85" customWidth="1"/>
    <col min="13826" max="13826" width="9.14285714285714" style="85"/>
    <col min="13827" max="13827" width="13.4285714285714" style="85" customWidth="1"/>
    <col min="13828" max="13828" width="10.4285714285714" style="85" customWidth="1"/>
    <col min="13829" max="13829" width="19.7142857142857" style="85" customWidth="1"/>
    <col min="13830" max="14080" width="9.14285714285714" style="85"/>
    <col min="14081" max="14081" width="20.4285714285714" style="85" customWidth="1"/>
    <col min="14082" max="14082" width="9.14285714285714" style="85"/>
    <col min="14083" max="14083" width="13.4285714285714" style="85" customWidth="1"/>
    <col min="14084" max="14084" width="10.4285714285714" style="85" customWidth="1"/>
    <col min="14085" max="14085" width="19.7142857142857" style="85" customWidth="1"/>
    <col min="14086" max="14336" width="9.14285714285714" style="85"/>
    <col min="14337" max="14337" width="20.4285714285714" style="85" customWidth="1"/>
    <col min="14338" max="14338" width="9.14285714285714" style="85"/>
    <col min="14339" max="14339" width="13.4285714285714" style="85" customWidth="1"/>
    <col min="14340" max="14340" width="10.4285714285714" style="85" customWidth="1"/>
    <col min="14341" max="14341" width="19.7142857142857" style="85" customWidth="1"/>
    <col min="14342" max="14592" width="9.14285714285714" style="85"/>
    <col min="14593" max="14593" width="20.4285714285714" style="85" customWidth="1"/>
    <col min="14594" max="14594" width="9.14285714285714" style="85"/>
    <col min="14595" max="14595" width="13.4285714285714" style="85" customWidth="1"/>
    <col min="14596" max="14596" width="10.4285714285714" style="85" customWidth="1"/>
    <col min="14597" max="14597" width="19.7142857142857" style="85" customWidth="1"/>
    <col min="14598" max="14848" width="9.14285714285714" style="85"/>
    <col min="14849" max="14849" width="20.4285714285714" style="85" customWidth="1"/>
    <col min="14850" max="14850" width="9.14285714285714" style="85"/>
    <col min="14851" max="14851" width="13.4285714285714" style="85" customWidth="1"/>
    <col min="14852" max="14852" width="10.4285714285714" style="85" customWidth="1"/>
    <col min="14853" max="14853" width="19.7142857142857" style="85" customWidth="1"/>
    <col min="14854" max="15104" width="9.14285714285714" style="85"/>
    <col min="15105" max="15105" width="20.4285714285714" style="85" customWidth="1"/>
    <col min="15106" max="15106" width="9.14285714285714" style="85"/>
    <col min="15107" max="15107" width="13.4285714285714" style="85" customWidth="1"/>
    <col min="15108" max="15108" width="10.4285714285714" style="85" customWidth="1"/>
    <col min="15109" max="15109" width="19.7142857142857" style="85" customWidth="1"/>
    <col min="15110" max="15360" width="9.14285714285714" style="85"/>
    <col min="15361" max="15361" width="20.4285714285714" style="85" customWidth="1"/>
    <col min="15362" max="15362" width="9.14285714285714" style="85"/>
    <col min="15363" max="15363" width="13.4285714285714" style="85" customWidth="1"/>
    <col min="15364" max="15364" width="10.4285714285714" style="85" customWidth="1"/>
    <col min="15365" max="15365" width="19.7142857142857" style="85" customWidth="1"/>
    <col min="15366" max="15616" width="9.14285714285714" style="85"/>
    <col min="15617" max="15617" width="20.4285714285714" style="85" customWidth="1"/>
    <col min="15618" max="15618" width="9.14285714285714" style="85"/>
    <col min="15619" max="15619" width="13.4285714285714" style="85" customWidth="1"/>
    <col min="15620" max="15620" width="10.4285714285714" style="85" customWidth="1"/>
    <col min="15621" max="15621" width="19.7142857142857" style="85" customWidth="1"/>
    <col min="15622" max="15872" width="9.14285714285714" style="85"/>
    <col min="15873" max="15873" width="20.4285714285714" style="85" customWidth="1"/>
    <col min="15874" max="15874" width="9.14285714285714" style="85"/>
    <col min="15875" max="15875" width="13.4285714285714" style="85" customWidth="1"/>
    <col min="15876" max="15876" width="10.4285714285714" style="85" customWidth="1"/>
    <col min="15877" max="15877" width="19.7142857142857" style="85" customWidth="1"/>
    <col min="15878" max="16128" width="9.14285714285714" style="85"/>
    <col min="16129" max="16129" width="20.4285714285714" style="85" customWidth="1"/>
    <col min="16130" max="16130" width="9.14285714285714" style="85"/>
    <col min="16131" max="16131" width="13.4285714285714" style="85" customWidth="1"/>
    <col min="16132" max="16132" width="10.4285714285714" style="85" customWidth="1"/>
    <col min="16133" max="16133" width="19.7142857142857" style="85" customWidth="1"/>
    <col min="16134" max="16384" width="9.14285714285714" style="85"/>
  </cols>
  <sheetData>
    <row r="1" spans="1:6">
      <c r="A1" s="85" t="s">
        <v>1629</v>
      </c>
      <c r="B1" s="149">
        <f>uxbWorks!B15</f>
        <v>38</v>
      </c>
      <c r="C1" s="149" t="str">
        <f>iCityP_Charts!C1</f>
        <v>Abu Dhabi</v>
      </c>
      <c r="D1" s="149"/>
      <c r="E1" s="149"/>
      <c r="F1" s="149"/>
    </row>
    <row r="2" ht="12" spans="1:6">
      <c r="A2" s="85" t="s">
        <v>1630</v>
      </c>
      <c r="B2" s="149">
        <f>uxbWorks!B44</f>
        <v>40</v>
      </c>
      <c r="C2" s="149" t="str">
        <f>iCityP_Charts!C2</f>
        <v>Paris</v>
      </c>
      <c r="D2" s="149"/>
      <c r="E2" s="149"/>
      <c r="F2" s="149"/>
    </row>
    <row r="3" spans="1:6">
      <c r="A3" s="156" t="s">
        <v>1631</v>
      </c>
      <c r="B3" s="157"/>
      <c r="C3" s="158"/>
      <c r="D3" s="149"/>
      <c r="E3" s="149"/>
      <c r="F3" s="149"/>
    </row>
    <row r="4" ht="12" spans="1:6">
      <c r="A4" s="159" t="s">
        <v>1632</v>
      </c>
      <c r="B4" s="160"/>
      <c r="C4" s="161"/>
      <c r="D4" s="149"/>
      <c r="E4" s="149"/>
      <c r="F4" s="149"/>
    </row>
    <row r="5" spans="1:12">
      <c r="A5" s="85" t="s">
        <v>1633</v>
      </c>
      <c r="B5" s="149">
        <f>uxbWorks!B5</f>
        <v>50</v>
      </c>
      <c r="C5" s="149"/>
      <c r="D5" s="149"/>
      <c r="E5" s="162"/>
      <c r="F5" s="162"/>
      <c r="G5" s="162"/>
      <c r="H5" s="162"/>
      <c r="I5" s="162"/>
      <c r="J5" s="162"/>
      <c r="K5" s="162"/>
      <c r="L5" s="162"/>
    </row>
    <row r="6" spans="2:12">
      <c r="B6" s="149"/>
      <c r="C6" s="149"/>
      <c r="D6" s="85" t="str">
        <f>C1</f>
        <v>Abu Dhabi</v>
      </c>
      <c r="E6" s="162"/>
      <c r="F6" s="162" t="str">
        <f>C2</f>
        <v>Paris</v>
      </c>
      <c r="G6" s="162"/>
      <c r="H6" s="162"/>
      <c r="I6" s="162"/>
      <c r="J6" s="162"/>
      <c r="K6" s="162"/>
      <c r="L6" s="162"/>
    </row>
    <row r="7" spans="2:12">
      <c r="B7" s="85" t="str">
        <f>CONCATENATE(F1," average")</f>
        <v> average</v>
      </c>
      <c r="D7" s="85" t="s">
        <v>418</v>
      </c>
      <c r="E7" s="162" t="str">
        <f>CONCATENATE("Rank / ",$B$5)</f>
        <v>Rank / 50</v>
      </c>
      <c r="F7" s="162" t="s">
        <v>418</v>
      </c>
      <c r="G7" s="162" t="str">
        <f>CONCATENATE("Rank / ",$B$5)</f>
        <v>Rank / 50</v>
      </c>
      <c r="H7" s="162"/>
      <c r="I7" s="162"/>
      <c r="J7" s="162"/>
      <c r="K7" s="162"/>
      <c r="L7" s="162"/>
    </row>
    <row r="8" spans="5:12">
      <c r="E8" s="162"/>
      <c r="F8" s="162"/>
      <c r="G8" s="162"/>
      <c r="H8" s="162"/>
      <c r="I8" s="162"/>
      <c r="J8" s="162"/>
      <c r="K8" s="162"/>
      <c r="L8" s="162"/>
    </row>
    <row r="9" spans="1:23">
      <c r="A9" s="85" t="str">
        <f>tblIndiSets!C3</f>
        <v>TOTAL SCORE</v>
      </c>
      <c r="B9" s="85">
        <f>tblIndiSets!B3</f>
        <v>1</v>
      </c>
      <c r="C9" s="85" t="str">
        <f>tblIndiSets!C3</f>
        <v>TOTAL SCORE</v>
      </c>
      <c r="D9" s="85">
        <f>INDEX(aRoundedScores,$B9,$B$1)</f>
        <v>69.83</v>
      </c>
      <c r="E9" s="163">
        <f ca="1" t="shared" ref="E9" si="0">IF(M9&gt;1,CONCATENATE("=",L9),L9)</f>
        <v>25</v>
      </c>
      <c r="F9" s="162">
        <f>INDEX(aRoundedScores,$B9,$B$2)</f>
        <v>71.21</v>
      </c>
      <c r="G9" s="163">
        <f ca="1" t="shared" ref="G9" si="1">IF(O9&gt;1,CONCATENATE("=",N9),N9)</f>
        <v>23</v>
      </c>
      <c r="H9" s="162"/>
      <c r="I9" s="163"/>
      <c r="J9" s="162"/>
      <c r="K9" s="163"/>
      <c r="L9" s="162">
        <f ca="1">RANK(D9,OFFSET(aRoundedScores,$B9-1,0,1,$B$5))</f>
        <v>25</v>
      </c>
      <c r="M9" s="85">
        <f ca="1">COUNTIF(OFFSET(aRoundedScores,$B9-1,0,1,$B$5),D9)</f>
        <v>1</v>
      </c>
      <c r="N9" s="85">
        <f ca="1">RANK(F9,OFFSET(aRoundedScores,$B9-1,0,1,$B$5))</f>
        <v>23</v>
      </c>
      <c r="O9" s="85">
        <f ca="1">COUNTIF(OFFSET(aRoundedScores,$B9-1,0,1,$B$5),F9)</f>
        <v>1</v>
      </c>
      <c r="V9" s="85" t="str">
        <f>C1</f>
        <v>Abu Dhabi</v>
      </c>
      <c r="W9" s="85" t="str">
        <f>C2</f>
        <v>Paris</v>
      </c>
    </row>
    <row r="10" spans="1:23">
      <c r="A10" s="85" t="str">
        <f>tblIndiSets!C4</f>
        <v>1) DIGITAL SECURITY</v>
      </c>
      <c r="B10" s="85">
        <f>tblIndiSets!B4</f>
        <v>2</v>
      </c>
      <c r="C10" s="85" t="str">
        <f>tblIndiSets!C4</f>
        <v>1) DIGITAL SECURITY</v>
      </c>
      <c r="D10" s="85">
        <f>INDEX(aRoundedScores,$B10,$B$1)</f>
        <v>73.71</v>
      </c>
      <c r="E10" s="163">
        <f ca="1" t="shared" ref="E10:E13" si="2">IF(M10&gt;1,CONCATENATE("=",L10),L10)</f>
        <v>9</v>
      </c>
      <c r="F10" s="162">
        <f>INDEX(aRoundedScores,$B10,$B$2)</f>
        <v>58.4</v>
      </c>
      <c r="G10" s="163">
        <f ca="1" t="shared" ref="G10:G13" si="3">IF(O10&gt;1,CONCATENATE("=",N10),N10)</f>
        <v>32</v>
      </c>
      <c r="H10" s="162"/>
      <c r="I10" s="163"/>
      <c r="J10" s="162"/>
      <c r="K10" s="163"/>
      <c r="L10" s="162">
        <f ca="1">RANK(D10,OFFSET(aRoundedScores,$B10-1,0,1,$B$5))</f>
        <v>9</v>
      </c>
      <c r="M10" s="85">
        <f ca="1">COUNTIF(OFFSET(aRoundedScores,$B10-1,0,1,$B$5),D10)</f>
        <v>1</v>
      </c>
      <c r="N10" s="85">
        <f ca="1">RANK(F10,OFFSET(aRoundedScores,$B10-1,0,1,$B$5))</f>
        <v>32</v>
      </c>
      <c r="O10" s="85">
        <f ca="1">COUNTIF(OFFSET(aRoundedScores,$B10-1,0,1,$B$5),F10)</f>
        <v>1</v>
      </c>
      <c r="U10" s="85" t="str">
        <f>IF(uxbWorks!$B$9,"Ratio ,of Output/Input * 100",C9)</f>
        <v>TOTAL SCORE</v>
      </c>
      <c r="V10" s="85">
        <f>IF(uxbWorks!$B$9,100*D9,D9)</f>
        <v>69.83</v>
      </c>
      <c r="W10" s="85">
        <f>IF(uxbWorks!$B$9,100*F9,F9)</f>
        <v>71.21</v>
      </c>
    </row>
    <row r="11" spans="1:23">
      <c r="A11" s="85" t="str">
        <f>tblIndiSets!C5</f>
        <v>2) HEALTH SECURITY</v>
      </c>
      <c r="B11" s="85">
        <f>tblIndiSets!B5</f>
        <v>14</v>
      </c>
      <c r="C11" s="85" t="str">
        <f>tblIndiSets!C5</f>
        <v>2) HEALTH SECURITY</v>
      </c>
      <c r="D11" s="85">
        <f>INDEX(aRoundedScores,$B11,$B$1)</f>
        <v>52.06</v>
      </c>
      <c r="E11" s="163">
        <f ca="1" t="shared" si="2"/>
        <v>45</v>
      </c>
      <c r="F11" s="162">
        <f>INDEX(aRoundedScores,$B11,$B$2)</f>
        <v>76.95</v>
      </c>
      <c r="G11" s="163">
        <f ca="1" t="shared" si="3"/>
        <v>5</v>
      </c>
      <c r="H11" s="162"/>
      <c r="I11" s="163"/>
      <c r="J11" s="162"/>
      <c r="K11" s="163"/>
      <c r="L11" s="162">
        <f ca="1">RANK(D11,OFFSET(aRoundedScores,$B11-1,0,1,$B$5))</f>
        <v>45</v>
      </c>
      <c r="M11" s="85">
        <f ca="1">COUNTIF(OFFSET(aRoundedScores,$B11-1,0,1,$B$5),D11)</f>
        <v>1</v>
      </c>
      <c r="N11" s="85">
        <f ca="1">RANK(F11,OFFSET(aRoundedScores,$B11-1,0,1,$B$5))</f>
        <v>5</v>
      </c>
      <c r="O11" s="85">
        <f ca="1">COUNTIF(OFFSET(aRoundedScores,$B11-1,0,1,$B$5),F11)</f>
        <v>1</v>
      </c>
      <c r="U11" s="85" t="str">
        <f t="shared" ref="U11:U14" si="4">C10</f>
        <v>1) DIGITAL SECURITY</v>
      </c>
      <c r="V11" s="85">
        <f t="shared" ref="V11:V14" si="5">D10</f>
        <v>73.71</v>
      </c>
      <c r="W11" s="85">
        <f t="shared" ref="W11:W14" si="6">F10</f>
        <v>58.4</v>
      </c>
    </row>
    <row r="12" spans="1:23">
      <c r="A12" s="85" t="str">
        <f>tblIndiSets!C6</f>
        <v>3) INFRASTRUCTURE SAFETY</v>
      </c>
      <c r="B12" s="85">
        <f>tblIndiSets!B6</f>
        <v>28</v>
      </c>
      <c r="C12" s="85" t="str">
        <f>tblIndiSets!C6</f>
        <v>3) INFRASTRUCTURE SAFETY</v>
      </c>
      <c r="D12" s="85">
        <f>INDEX(aRoundedScores,$B12,$B$1)</f>
        <v>86.16</v>
      </c>
      <c r="E12" s="163" t="str">
        <f ca="1" t="shared" si="2"/>
        <v>=10</v>
      </c>
      <c r="F12" s="162">
        <f>INDEX(aRoundedScores,$B12,$B$2)</f>
        <v>78.22</v>
      </c>
      <c r="G12" s="163">
        <f ca="1" t="shared" si="3"/>
        <v>26</v>
      </c>
      <c r="H12" s="162"/>
      <c r="I12" s="163"/>
      <c r="J12" s="162"/>
      <c r="K12" s="163"/>
      <c r="L12" s="162">
        <f ca="1">RANK(D12,OFFSET(aRoundedScores,$B12-1,0,1,$B$5))</f>
        <v>10</v>
      </c>
      <c r="M12" s="85">
        <f ca="1">COUNTIF(OFFSET(aRoundedScores,$B12-1,0,1,$B$5),D12)</f>
        <v>2</v>
      </c>
      <c r="N12" s="85">
        <f ca="1">RANK(F12,OFFSET(aRoundedScores,$B12-1,0,1,$B$5))</f>
        <v>26</v>
      </c>
      <c r="O12" s="85">
        <f ca="1">COUNTIF(OFFSET(aRoundedScores,$B12-1,0,1,$B$5),F12)</f>
        <v>1</v>
      </c>
      <c r="U12" s="85" t="str">
        <f t="shared" si="4"/>
        <v>2) HEALTH SECURITY</v>
      </c>
      <c r="V12" s="85">
        <f t="shared" si="5"/>
        <v>52.06</v>
      </c>
      <c r="W12" s="85">
        <f t="shared" si="6"/>
        <v>76.95</v>
      </c>
    </row>
    <row r="13" spans="1:23">
      <c r="A13" s="85" t="str">
        <f>tblIndiSets!C7</f>
        <v>4) PERSONAL SAFETY</v>
      </c>
      <c r="B13" s="85">
        <f>tblIndiSets!B7</f>
        <v>40</v>
      </c>
      <c r="C13" s="85" t="str">
        <f>tblIndiSets!C7</f>
        <v>4) PERSONAL SAFETY</v>
      </c>
      <c r="D13" s="85">
        <f>INDEX(aRoundedScores,$B13,$B$1)</f>
        <v>67.39</v>
      </c>
      <c r="E13" s="163">
        <f ca="1" t="shared" si="2"/>
        <v>32</v>
      </c>
      <c r="F13" s="162">
        <f>INDEX(aRoundedScores,$B13,$B$2)</f>
        <v>71.29</v>
      </c>
      <c r="G13" s="163">
        <f ca="1" t="shared" si="3"/>
        <v>24</v>
      </c>
      <c r="H13" s="162"/>
      <c r="I13" s="163"/>
      <c r="J13" s="162"/>
      <c r="K13" s="163"/>
      <c r="L13" s="162">
        <f ca="1">RANK(D13,OFFSET(aRoundedScores,$B13-1,0,1,$B$5))</f>
        <v>32</v>
      </c>
      <c r="M13" s="85">
        <f ca="1">COUNTIF(OFFSET(aRoundedScores,$B13-1,0,1,$B$5),D13)</f>
        <v>1</v>
      </c>
      <c r="N13" s="85">
        <f ca="1">RANK(F13,OFFSET(aRoundedScores,$B13-1,0,1,$B$5))</f>
        <v>24</v>
      </c>
      <c r="O13" s="85">
        <f ca="1">COUNTIF(OFFSET(aRoundedScores,$B13-1,0,1,$B$5),F13)</f>
        <v>1</v>
      </c>
      <c r="U13" s="85" t="str">
        <f t="shared" si="4"/>
        <v>3) INFRASTRUCTURE SAFETY</v>
      </c>
      <c r="V13" s="85">
        <f t="shared" si="5"/>
        <v>86.16</v>
      </c>
      <c r="W13" s="85">
        <f t="shared" si="6"/>
        <v>78.22</v>
      </c>
    </row>
    <row r="14" spans="5:23">
      <c r="E14" s="163"/>
      <c r="F14" s="162"/>
      <c r="G14" s="163"/>
      <c r="H14" s="162"/>
      <c r="I14" s="163"/>
      <c r="J14" s="162"/>
      <c r="K14" s="163"/>
      <c r="L14" s="162"/>
      <c r="U14" s="85" t="str">
        <f t="shared" si="4"/>
        <v>4) PERSONAL SAFETY</v>
      </c>
      <c r="V14" s="85">
        <f t="shared" si="5"/>
        <v>67.39</v>
      </c>
      <c r="W14" s="85">
        <f t="shared" si="6"/>
        <v>71.29</v>
      </c>
    </row>
    <row r="15" spans="5:12">
      <c r="E15" s="162"/>
      <c r="F15" s="162"/>
      <c r="G15" s="162"/>
      <c r="H15" s="162"/>
      <c r="I15" s="162"/>
      <c r="J15" s="162"/>
      <c r="K15" s="162"/>
      <c r="L15" s="162"/>
    </row>
    <row r="16" spans="5:12">
      <c r="E16" s="162"/>
      <c r="F16" s="162"/>
      <c r="G16" s="162"/>
      <c r="H16" s="162"/>
      <c r="I16" s="162"/>
      <c r="J16" s="162"/>
      <c r="K16" s="162"/>
      <c r="L16" s="162"/>
    </row>
    <row r="18" spans="1:2">
      <c r="A18" s="164" t="s">
        <v>1634</v>
      </c>
      <c r="B18" s="164"/>
    </row>
    <row r="19" spans="1:1">
      <c r="A19" s="85" t="s">
        <v>37</v>
      </c>
    </row>
    <row r="20" spans="1:2">
      <c r="A20" s="85">
        <v>0</v>
      </c>
      <c r="B20" s="85" t="b">
        <v>0</v>
      </c>
    </row>
    <row r="21" spans="1:2">
      <c r="A21" s="85">
        <v>1</v>
      </c>
      <c r="B21" s="85" t="b">
        <v>0</v>
      </c>
    </row>
    <row r="22" spans="1:4">
      <c r="A22" s="85">
        <v>2</v>
      </c>
      <c r="B22" s="85" t="b">
        <f>IF(uxbWorks!$B$45=1,TRUE,FALSE)</f>
        <v>0</v>
      </c>
      <c r="D22" s="85" t="s">
        <v>1635</v>
      </c>
    </row>
    <row r="23" spans="1:4">
      <c r="A23" s="85">
        <v>3</v>
      </c>
      <c r="B23" s="85" t="b">
        <f>IF(uxbWorks!$B$45=2,TRUE,FALSE)</f>
        <v>1</v>
      </c>
      <c r="D23" s="85" t="s">
        <v>1636</v>
      </c>
    </row>
    <row r="24" spans="1:58">
      <c r="A24" s="85">
        <v>4</v>
      </c>
      <c r="B24" s="85" t="b">
        <v>0</v>
      </c>
      <c r="M24" s="85">
        <f>I24-J24</f>
        <v>0</v>
      </c>
      <c r="BB24" s="85" t="str">
        <f>CONCATENATE($C$1," scores more favourably")</f>
        <v>Abu Dhabi scores more favourably</v>
      </c>
      <c r="BF24" s="85" t="str">
        <f>CONCATENATE($C$2," scores more favourably")</f>
        <v>Paris scores more favourably</v>
      </c>
    </row>
    <row r="25" spans="9:58">
      <c r="I25" s="85" t="str">
        <f>$C$1</f>
        <v>Abu Dhabi</v>
      </c>
      <c r="J25" s="85" t="str">
        <f>$C$2</f>
        <v>Paris</v>
      </c>
      <c r="K25" s="85">
        <f>$C$3</f>
        <v>0</v>
      </c>
      <c r="L25" s="85">
        <f>$C$4</f>
        <v>0</v>
      </c>
      <c r="AV25" s="85" t="s">
        <v>1637</v>
      </c>
      <c r="AW25" s="85">
        <v>1</v>
      </c>
      <c r="AX25" s="85">
        <v>2</v>
      </c>
      <c r="AY25" s="85">
        <v>3</v>
      </c>
      <c r="AZ25" s="85" t="s">
        <v>1638</v>
      </c>
      <c r="BA25" s="165" t="s">
        <v>1637</v>
      </c>
      <c r="BB25" s="85">
        <v>1</v>
      </c>
      <c r="BD25" s="85">
        <v>2</v>
      </c>
      <c r="BF25" s="85">
        <v>3</v>
      </c>
    </row>
    <row r="26" spans="2:47">
      <c r="B26" s="165" t="s">
        <v>1639</v>
      </c>
      <c r="C26" s="165" t="s">
        <v>37</v>
      </c>
      <c r="D26" s="165" t="s">
        <v>1640</v>
      </c>
      <c r="E26" s="166" t="s">
        <v>1619</v>
      </c>
      <c r="F26" s="166" t="s">
        <v>1641</v>
      </c>
      <c r="G26" s="165" t="s">
        <v>412</v>
      </c>
      <c r="H26" s="165" t="s">
        <v>400</v>
      </c>
      <c r="I26" s="165" t="s">
        <v>376</v>
      </c>
      <c r="J26" s="165" t="s">
        <v>376</v>
      </c>
      <c r="K26" s="165" t="s">
        <v>376</v>
      </c>
      <c r="L26" s="165" t="s">
        <v>376</v>
      </c>
      <c r="M26" s="165"/>
      <c r="N26" s="85" t="s">
        <v>1642</v>
      </c>
      <c r="P26" s="85" t="s">
        <v>1643</v>
      </c>
      <c r="Q26" s="85" t="str">
        <f>$C$1</f>
        <v>Abu Dhabi</v>
      </c>
      <c r="R26" s="85" t="str">
        <f>$C$2</f>
        <v>Paris</v>
      </c>
      <c r="U26" s="85" t="str">
        <f>$C$1</f>
        <v>Abu Dhabi</v>
      </c>
      <c r="V26" s="85" t="str">
        <f>$C$2</f>
        <v>Paris</v>
      </c>
      <c r="Y26" s="85" t="str">
        <f>$C$1</f>
        <v>Abu Dhabi</v>
      </c>
      <c r="Z26" s="85" t="str">
        <f>$C$2</f>
        <v>Paris</v>
      </c>
      <c r="AC26" s="85" t="str">
        <f>$C$1</f>
        <v>Abu Dhabi</v>
      </c>
      <c r="AD26" s="85" t="str">
        <f>$C$2</f>
        <v>Paris</v>
      </c>
      <c r="AH26" s="85" t="str">
        <f>CONCATENATE($C$1," scores more favourably")</f>
        <v>Abu Dhabi scores more favourably</v>
      </c>
      <c r="AI26" s="85" t="str">
        <f>CONCATENATE($C$2," scores more favourably")</f>
        <v>Paris scores more favourably</v>
      </c>
      <c r="AO26" s="165"/>
      <c r="AP26" s="165"/>
      <c r="AQ26" s="165"/>
      <c r="AR26" s="165"/>
      <c r="AS26" s="165"/>
      <c r="AT26" s="165"/>
      <c r="AU26" s="165"/>
    </row>
    <row r="27" spans="1:35">
      <c r="A27" s="85">
        <f>tblIndicators!A2</f>
        <v>1</v>
      </c>
      <c r="B27" s="85">
        <f>tblIndicators!E2</f>
        <v>0</v>
      </c>
      <c r="C27" s="85">
        <f>tblIndicators!D2</f>
        <v>0</v>
      </c>
      <c r="D27" s="85">
        <f>tblIndicators!N2</f>
        <v>0</v>
      </c>
      <c r="E27" s="166" t="str">
        <f>tblIndicators!Z2</f>
        <v>TOTAL SCORE</v>
      </c>
      <c r="F27" s="166" t="str">
        <f>tblIndicators!J2</f>
        <v>Weighted sum of the category scores</v>
      </c>
      <c r="G27" s="165">
        <f>tblIndicators!AC2</f>
        <v>0</v>
      </c>
      <c r="H27" s="165" t="str">
        <f t="shared" ref="H27" si="7">IF(D27=1,"",INDEX(aData,$A27,$B$1))</f>
        <v/>
      </c>
      <c r="I27" s="85">
        <f t="shared" ref="I27:I83" si="8">INDEX(aRoundedScores,$A27,$B$1)</f>
        <v>69.83</v>
      </c>
      <c r="J27" s="165">
        <f t="shared" ref="J27:J83" si="9">INDEX(aRoundedScores,$A27,$B$2)</f>
        <v>71.21</v>
      </c>
      <c r="K27" s="165"/>
      <c r="L27" s="165"/>
      <c r="M27" s="85">
        <f>MIN(I27:J27)-MAX(I27:J27)</f>
        <v>-1.38</v>
      </c>
      <c r="N27" s="85">
        <v>1</v>
      </c>
      <c r="P27" s="85" t="b">
        <f>IF(G27=0,FALSE,IF(B27=1,FALSE,INDEX(B$20:B$24,C27+1)))</f>
        <v>0</v>
      </c>
      <c r="Q27" s="85">
        <f>IF($N27=1,IF($P27=TRUE,(IF(MAX($I27:$L27)=I27,1,0)),0),0)</f>
        <v>0</v>
      </c>
      <c r="R27" s="85">
        <f>IF($N27=1,IF($P27=TRUE,(IF(MAX($I27:$L27)=J27,1,0)),0),0)</f>
        <v>0</v>
      </c>
      <c r="U27" s="167">
        <f t="shared" ref="U27:V27" si="10">IF(Q27=0,0,$A27)</f>
        <v>0</v>
      </c>
      <c r="V27" s="168">
        <f t="shared" si="10"/>
        <v>0</v>
      </c>
      <c r="W27" s="168"/>
      <c r="X27" s="169"/>
      <c r="Y27" s="85">
        <f>RANK(U27,U$27:U$138)</f>
        <v>25</v>
      </c>
      <c r="Z27" s="85">
        <f>RANK(V27,V$27:V$138)</f>
        <v>27</v>
      </c>
      <c r="AC27" s="85">
        <f>MATCH($A27,Y$27:Y$138,0)</f>
        <v>57</v>
      </c>
      <c r="AD27" s="85">
        <f>MATCH($A27,Z$27:Z$138,0)</f>
        <v>50</v>
      </c>
      <c r="AH27" s="85" t="str">
        <f>IF(ISNA(AC27),"",IF(AC27=1,"",INDEX($A$27:$E$138,AC27,5)))</f>
        <v>4.2.8) Perceptions of safety</v>
      </c>
      <c r="AI27" s="85" t="str">
        <f>IF(ISNA(AD27),"",IF(AD27=1,"",INDEX($A$27:$E$138,AD27,5)))</f>
        <v>4.2.1) Prevalence of petty crime</v>
      </c>
    </row>
    <row r="28" spans="1:35">
      <c r="A28" s="85">
        <f>tblIndicators!A3</f>
        <v>2</v>
      </c>
      <c r="B28" s="85">
        <f>tblIndicators!E3</f>
        <v>0</v>
      </c>
      <c r="C28" s="85">
        <f>tblIndicators!D3</f>
        <v>1</v>
      </c>
      <c r="D28" s="85">
        <f>tblIndicators!N3</f>
        <v>0</v>
      </c>
      <c r="E28" s="166" t="str">
        <f>tblIndicators!Z3</f>
        <v>1) DIGITAL SECURITY</v>
      </c>
      <c r="F28" s="166" t="str">
        <f>tblIndicators!J3</f>
        <v>Weighted sum of underlying sub-category scores;</v>
      </c>
      <c r="G28" s="165">
        <f>tblIndicators!AC3</f>
        <v>0.25</v>
      </c>
      <c r="H28" s="165" t="str">
        <f t="shared" ref="H28:H83" si="11">IF(D28=1,"",INDEX(aData,$A28,$B$1))</f>
        <v/>
      </c>
      <c r="I28" s="85">
        <f t="shared" si="8"/>
        <v>73.71</v>
      </c>
      <c r="J28" s="165">
        <f t="shared" si="9"/>
        <v>58.4</v>
      </c>
      <c r="K28" s="165"/>
      <c r="L28" s="165"/>
      <c r="M28" s="85">
        <f t="shared" ref="M28:M83" si="12">MIN(I28:J28)-MAX(I28:J28)</f>
        <v>-15.31</v>
      </c>
      <c r="N28" s="85">
        <v>1</v>
      </c>
      <c r="P28" s="85" t="b">
        <f t="shared" ref="P28:P83" si="13">IF(G28=0,FALSE,IF(B28=1,FALSE,INDEX(B$20:B$24,C28+1)))</f>
        <v>0</v>
      </c>
      <c r="Q28" s="85">
        <f t="shared" ref="Q28:Q83" si="14">IF($N28=1,IF($P28=TRUE,(IF(MAX($I28:$L28)=I28,1,0)),0),0)</f>
        <v>0</v>
      </c>
      <c r="R28" s="85">
        <f t="shared" ref="R28:R83" si="15">IF($N28=1,IF($P28=TRUE,(IF(MAX($I28:$L28)=J28,1,0)),0),0)</f>
        <v>0</v>
      </c>
      <c r="U28" s="167">
        <f t="shared" ref="U28:U83" si="16">IF(Q28=0,0,$A28)</f>
        <v>0</v>
      </c>
      <c r="V28" s="168">
        <f t="shared" ref="V28:V83" si="17">IF(R28=0,0,$A28)</f>
        <v>0</v>
      </c>
      <c r="W28" s="168"/>
      <c r="X28" s="169"/>
      <c r="Y28" s="85">
        <f t="shared" ref="Y28:Y83" si="18">RANK(U28,U$27:U$138)</f>
        <v>25</v>
      </c>
      <c r="Z28" s="85">
        <f t="shared" ref="Z28:Z83" si="19">RANK(V28,V$27:V$138)</f>
        <v>27</v>
      </c>
      <c r="AC28" s="85">
        <f t="shared" ref="AC28:AC83" si="20">MATCH($A28,Y$27:Y$138,0)</f>
        <v>56</v>
      </c>
      <c r="AD28" s="85">
        <f t="shared" ref="AD28:AD83" si="21">MATCH($A28,Z$27:Z$138,0)</f>
        <v>48</v>
      </c>
      <c r="AH28" s="85" t="str">
        <f t="shared" ref="AH28:AH83" si="22">IF(ISNA(AC28),"",IF(AC28=1,"",INDEX($A$27:$E$138,AC28,5)))</f>
        <v>4.2.7) Gender safety</v>
      </c>
      <c r="AI28" s="85" t="str">
        <f t="shared" ref="AI28:AI83" si="23">IF(ISNA(AD28),"",IF(AD28=1,"",INDEX($A$27:$E$138,AD28,5)))</f>
        <v>4.1.7) Political Stability Risk</v>
      </c>
    </row>
    <row r="29" spans="1:35">
      <c r="A29" s="85">
        <f>tblIndicators!A4</f>
        <v>3</v>
      </c>
      <c r="B29" s="85">
        <f>tblIndicators!E4</f>
        <v>0</v>
      </c>
      <c r="C29" s="85">
        <f>tblIndicators!D4</f>
        <v>2</v>
      </c>
      <c r="D29" s="85">
        <f>tblIndicators!N4</f>
        <v>0</v>
      </c>
      <c r="E29" s="166" t="str">
        <f>tblIndicators!Z4</f>
        <v>1.1) Digital Security (Inputs)</v>
      </c>
      <c r="F29" s="166" t="str">
        <f>tblIndicators!J4</f>
        <v>Weighted sum of underlying indicator scores;</v>
      </c>
      <c r="G29" s="165">
        <f>tblIndicators!AC4</f>
        <v>0.5</v>
      </c>
      <c r="H29" s="165" t="str">
        <f t="shared" si="11"/>
        <v/>
      </c>
      <c r="I29" s="85">
        <f t="shared" si="8"/>
        <v>67.33</v>
      </c>
      <c r="J29" s="165">
        <f t="shared" si="9"/>
        <v>48</v>
      </c>
      <c r="K29" s="165"/>
      <c r="L29" s="165"/>
      <c r="M29" s="85">
        <f t="shared" si="12"/>
        <v>-19.33</v>
      </c>
      <c r="N29" s="85">
        <v>1</v>
      </c>
      <c r="P29" s="85" t="b">
        <f t="shared" si="13"/>
        <v>0</v>
      </c>
      <c r="Q29" s="85">
        <f t="shared" si="14"/>
        <v>0</v>
      </c>
      <c r="R29" s="85">
        <f t="shared" si="15"/>
        <v>0</v>
      </c>
      <c r="U29" s="167">
        <f t="shared" si="16"/>
        <v>0</v>
      </c>
      <c r="V29" s="168">
        <f t="shared" si="17"/>
        <v>0</v>
      </c>
      <c r="W29" s="168"/>
      <c r="X29" s="169"/>
      <c r="Y29" s="85">
        <f t="shared" si="18"/>
        <v>25</v>
      </c>
      <c r="Z29" s="85">
        <f t="shared" si="19"/>
        <v>27</v>
      </c>
      <c r="AC29" s="85">
        <f t="shared" si="20"/>
        <v>55</v>
      </c>
      <c r="AD29" s="85">
        <f t="shared" si="21"/>
        <v>46</v>
      </c>
      <c r="AH29" s="85" t="str">
        <f t="shared" si="22"/>
        <v>4.2.6) Frequency of terrorist attacks</v>
      </c>
      <c r="AI29" s="85" t="str">
        <f t="shared" si="23"/>
        <v>4.1.5) Private security measures</v>
      </c>
    </row>
    <row r="30" spans="1:35">
      <c r="A30" s="85">
        <f>tblIndicators!A5</f>
        <v>4</v>
      </c>
      <c r="B30" s="85">
        <f>tblIndicators!E5</f>
        <v>0</v>
      </c>
      <c r="C30" s="85">
        <f>tblIndicators!D5</f>
        <v>3</v>
      </c>
      <c r="D30" s="85">
        <f>tblIndicators!N5</f>
        <v>1</v>
      </c>
      <c r="E30" s="166" t="str">
        <f>tblIndicators!Z5</f>
        <v>1.1.1) Privacy policy</v>
      </c>
      <c r="F30" s="166" t="str">
        <f>tblIndicators!J5</f>
        <v>Scale 0-5</v>
      </c>
      <c r="G30" s="165">
        <f>tblIndicators!AC5</f>
        <v>0.2</v>
      </c>
      <c r="H30" s="165" t="str">
        <f t="shared" si="11"/>
        <v/>
      </c>
      <c r="I30" s="85">
        <f t="shared" si="8"/>
        <v>20</v>
      </c>
      <c r="J30" s="165">
        <f t="shared" si="9"/>
        <v>40</v>
      </c>
      <c r="K30" s="165"/>
      <c r="L30" s="165"/>
      <c r="M30" s="85">
        <f t="shared" si="12"/>
        <v>-20</v>
      </c>
      <c r="N30" s="85">
        <v>1</v>
      </c>
      <c r="P30" s="85" t="b">
        <f t="shared" si="13"/>
        <v>1</v>
      </c>
      <c r="Q30" s="85">
        <f t="shared" si="14"/>
        <v>0</v>
      </c>
      <c r="R30" s="85">
        <f t="shared" si="15"/>
        <v>1</v>
      </c>
      <c r="U30" s="167">
        <f t="shared" si="16"/>
        <v>0</v>
      </c>
      <c r="V30" s="168">
        <f t="shared" si="17"/>
        <v>4</v>
      </c>
      <c r="W30" s="168"/>
      <c r="X30" s="169"/>
      <c r="Y30" s="85">
        <f t="shared" si="18"/>
        <v>25</v>
      </c>
      <c r="Z30" s="85">
        <f t="shared" si="19"/>
        <v>26</v>
      </c>
      <c r="AC30" s="85">
        <f t="shared" si="20"/>
        <v>54</v>
      </c>
      <c r="AD30" s="85">
        <f t="shared" si="21"/>
        <v>45</v>
      </c>
      <c r="AH30" s="85" t="str">
        <f t="shared" si="22"/>
        <v>4.2.5) Rate of drug use</v>
      </c>
      <c r="AI30" s="85" t="str">
        <f t="shared" si="23"/>
        <v>4.1.4) Use of data-driven techniques for crime</v>
      </c>
    </row>
    <row r="31" spans="1:35">
      <c r="A31" s="85">
        <f>tblIndicators!A6</f>
        <v>5</v>
      </c>
      <c r="B31" s="85">
        <f>tblIndicators!E6</f>
        <v>0</v>
      </c>
      <c r="C31" s="85">
        <f>tblIndicators!D6</f>
        <v>3</v>
      </c>
      <c r="D31" s="85">
        <f>tblIndicators!N6</f>
        <v>0</v>
      </c>
      <c r="E31" s="166" t="str">
        <f>tblIndicators!Z6</f>
        <v>1.1.2) Citizen awareness of digital threats</v>
      </c>
      <c r="F31" s="166" t="str">
        <f>tblIndicators!J6</f>
        <v>Scale 0-3</v>
      </c>
      <c r="G31" s="165">
        <f>tblIndicators!AC6</f>
        <v>0.2</v>
      </c>
      <c r="H31" s="165">
        <f t="shared" si="11"/>
        <v>2</v>
      </c>
      <c r="I31" s="85">
        <f t="shared" si="8"/>
        <v>66.67</v>
      </c>
      <c r="J31" s="165">
        <f t="shared" si="9"/>
        <v>0</v>
      </c>
      <c r="K31" s="165"/>
      <c r="L31" s="165"/>
      <c r="M31" s="85">
        <f t="shared" si="12"/>
        <v>-66.67</v>
      </c>
      <c r="N31" s="85">
        <v>1</v>
      </c>
      <c r="P31" s="85" t="b">
        <f t="shared" si="13"/>
        <v>1</v>
      </c>
      <c r="Q31" s="85">
        <f t="shared" si="14"/>
        <v>1</v>
      </c>
      <c r="R31" s="85">
        <f t="shared" si="15"/>
        <v>0</v>
      </c>
      <c r="U31" s="167">
        <f t="shared" si="16"/>
        <v>5</v>
      </c>
      <c r="V31" s="168">
        <f t="shared" si="17"/>
        <v>0</v>
      </c>
      <c r="W31" s="168"/>
      <c r="X31" s="169"/>
      <c r="Y31" s="85">
        <f t="shared" si="18"/>
        <v>24</v>
      </c>
      <c r="Z31" s="85">
        <f t="shared" si="19"/>
        <v>27</v>
      </c>
      <c r="AC31" s="85">
        <f t="shared" si="20"/>
        <v>53</v>
      </c>
      <c r="AD31" s="85">
        <f t="shared" si="21"/>
        <v>44</v>
      </c>
      <c r="AH31" s="85" t="str">
        <f t="shared" si="22"/>
        <v>4.2.4) Level of corruption in police force</v>
      </c>
      <c r="AI31" s="85" t="str">
        <f t="shared" si="23"/>
        <v>4.1.3) Availability of street-level crime data</v>
      </c>
    </row>
    <row r="32" spans="1:35">
      <c r="A32" s="85">
        <f>tblIndicators!A7</f>
        <v>6</v>
      </c>
      <c r="B32" s="85">
        <f>tblIndicators!E7</f>
        <v>0</v>
      </c>
      <c r="C32" s="85">
        <f>tblIndicators!D7</f>
        <v>3</v>
      </c>
      <c r="D32" s="85">
        <f>tblIndicators!N7</f>
        <v>0</v>
      </c>
      <c r="E32" s="166" t="str">
        <f>tblIndicators!Z7</f>
        <v>1.1.3) City reliance on digital infrastructure</v>
      </c>
      <c r="F32" s="166" t="str">
        <f>tblIndicators!J7</f>
        <v>Scale 0-2</v>
      </c>
      <c r="G32" s="165">
        <f>tblIndicators!AC7</f>
        <v>0</v>
      </c>
      <c r="H32" s="165">
        <f t="shared" si="11"/>
        <v>0</v>
      </c>
      <c r="I32" s="85">
        <f t="shared" si="8"/>
        <v>0</v>
      </c>
      <c r="J32" s="165">
        <f t="shared" si="9"/>
        <v>0</v>
      </c>
      <c r="K32" s="165"/>
      <c r="L32" s="165"/>
      <c r="M32" s="85">
        <f t="shared" si="12"/>
        <v>0</v>
      </c>
      <c r="N32" s="85">
        <v>1</v>
      </c>
      <c r="P32" s="85" t="b">
        <f t="shared" si="13"/>
        <v>0</v>
      </c>
      <c r="Q32" s="85">
        <f t="shared" si="14"/>
        <v>0</v>
      </c>
      <c r="R32" s="85">
        <f t="shared" si="15"/>
        <v>0</v>
      </c>
      <c r="U32" s="167">
        <f t="shared" si="16"/>
        <v>0</v>
      </c>
      <c r="V32" s="168">
        <f t="shared" si="17"/>
        <v>0</v>
      </c>
      <c r="W32" s="168"/>
      <c r="X32" s="169"/>
      <c r="Y32" s="85">
        <f t="shared" si="18"/>
        <v>25</v>
      </c>
      <c r="Z32" s="85">
        <f t="shared" si="19"/>
        <v>27</v>
      </c>
      <c r="AC32" s="85">
        <f t="shared" si="20"/>
        <v>52</v>
      </c>
      <c r="AD32" s="85">
        <f t="shared" si="21"/>
        <v>43</v>
      </c>
      <c r="AH32" s="85" t="str">
        <f t="shared" si="22"/>
        <v>4.2.3) Criminal gang activity</v>
      </c>
      <c r="AI32" s="85" t="str">
        <f t="shared" si="23"/>
        <v>4.1.2) Community-based patrolling</v>
      </c>
    </row>
    <row r="33" spans="1:35">
      <c r="A33" s="85">
        <f>tblIndicators!A8</f>
        <v>7</v>
      </c>
      <c r="B33" s="85">
        <f>tblIndicators!E8</f>
        <v>0</v>
      </c>
      <c r="C33" s="85">
        <f>tblIndicators!D8</f>
        <v>3</v>
      </c>
      <c r="D33" s="85">
        <f>tblIndicators!N8</f>
        <v>0</v>
      </c>
      <c r="E33" s="166" t="str">
        <f>tblIndicators!Z8</f>
        <v>1.1.4) Public-private partnerships</v>
      </c>
      <c r="F33" s="166" t="str">
        <f>tblIndicators!J8</f>
        <v>Scale 0-2</v>
      </c>
      <c r="G33" s="165">
        <f>tblIndicators!AC8</f>
        <v>0.2</v>
      </c>
      <c r="H33" s="165">
        <f t="shared" si="11"/>
        <v>1</v>
      </c>
      <c r="I33" s="85">
        <f t="shared" si="8"/>
        <v>50</v>
      </c>
      <c r="J33" s="165">
        <f t="shared" si="9"/>
        <v>50</v>
      </c>
      <c r="K33" s="165"/>
      <c r="L33" s="165"/>
      <c r="M33" s="85">
        <f t="shared" si="12"/>
        <v>0</v>
      </c>
      <c r="N33" s="85">
        <v>1</v>
      </c>
      <c r="P33" s="85" t="b">
        <f t="shared" si="13"/>
        <v>1</v>
      </c>
      <c r="Q33" s="85">
        <f t="shared" si="14"/>
        <v>1</v>
      </c>
      <c r="R33" s="85">
        <f t="shared" si="15"/>
        <v>1</v>
      </c>
      <c r="U33" s="167">
        <f t="shared" si="16"/>
        <v>7</v>
      </c>
      <c r="V33" s="168">
        <f t="shared" si="17"/>
        <v>7</v>
      </c>
      <c r="W33" s="168"/>
      <c r="X33" s="169"/>
      <c r="Y33" s="85">
        <f t="shared" si="18"/>
        <v>23</v>
      </c>
      <c r="Z33" s="85">
        <f t="shared" si="19"/>
        <v>25</v>
      </c>
      <c r="AC33" s="85">
        <f t="shared" si="20"/>
        <v>51</v>
      </c>
      <c r="AD33" s="85">
        <f t="shared" si="21"/>
        <v>42</v>
      </c>
      <c r="AH33" s="85" t="str">
        <f t="shared" si="22"/>
        <v>4.2.2) Prevalence of violence crime</v>
      </c>
      <c r="AI33" s="85" t="str">
        <f t="shared" si="23"/>
        <v>4.1.1) Level of police engagement</v>
      </c>
    </row>
    <row r="34" spans="1:35">
      <c r="A34" s="85">
        <f>tblIndicators!A9</f>
        <v>8</v>
      </c>
      <c r="B34" s="85">
        <f>tblIndicators!E9</f>
        <v>0</v>
      </c>
      <c r="C34" s="85">
        <f>tblIndicators!D9</f>
        <v>3</v>
      </c>
      <c r="D34" s="85">
        <f>tblIndicators!N9</f>
        <v>0</v>
      </c>
      <c r="E34" s="166" t="str">
        <f>tblIndicators!Z9</f>
        <v>1.1.5) Level of technology employed</v>
      </c>
      <c r="F34" s="166" t="str">
        <f>tblIndicators!J9</f>
        <v>Scale 0-100</v>
      </c>
      <c r="G34" s="165">
        <f>tblIndicators!AC9</f>
        <v>0.2</v>
      </c>
      <c r="H34" s="165">
        <f t="shared" si="11"/>
        <v>100</v>
      </c>
      <c r="I34" s="85">
        <f t="shared" si="8"/>
        <v>100</v>
      </c>
      <c r="J34" s="165">
        <f t="shared" si="9"/>
        <v>100</v>
      </c>
      <c r="K34" s="165"/>
      <c r="L34" s="165"/>
      <c r="M34" s="85">
        <f t="shared" si="12"/>
        <v>0</v>
      </c>
      <c r="N34" s="85">
        <v>1</v>
      </c>
      <c r="P34" s="85" t="b">
        <f t="shared" si="13"/>
        <v>1</v>
      </c>
      <c r="Q34" s="85">
        <f t="shared" si="14"/>
        <v>1</v>
      </c>
      <c r="R34" s="85">
        <f t="shared" si="15"/>
        <v>1</v>
      </c>
      <c r="U34" s="167">
        <f t="shared" si="16"/>
        <v>8</v>
      </c>
      <c r="V34" s="168">
        <f t="shared" si="17"/>
        <v>8</v>
      </c>
      <c r="W34" s="168"/>
      <c r="X34" s="169"/>
      <c r="Y34" s="85">
        <f t="shared" si="18"/>
        <v>22</v>
      </c>
      <c r="Z34" s="85">
        <f t="shared" si="19"/>
        <v>24</v>
      </c>
      <c r="AC34" s="85">
        <f t="shared" si="20"/>
        <v>50</v>
      </c>
      <c r="AD34" s="85">
        <f t="shared" si="21"/>
        <v>39</v>
      </c>
      <c r="AH34" s="85" t="str">
        <f t="shared" si="22"/>
        <v>4.2.1) Prevalence of petty crime</v>
      </c>
      <c r="AI34" s="85" t="str">
        <f t="shared" si="23"/>
        <v>3.2.4) Percent living in urban slums</v>
      </c>
    </row>
    <row r="35" spans="1:35">
      <c r="A35" s="85">
        <f>tblIndicators!A10</f>
        <v>9</v>
      </c>
      <c r="B35" s="85">
        <f>tblIndicators!E10</f>
        <v>0</v>
      </c>
      <c r="C35" s="85">
        <f>tblIndicators!D10</f>
        <v>3</v>
      </c>
      <c r="D35" s="85">
        <f>tblIndicators!N10</f>
        <v>0</v>
      </c>
      <c r="E35" s="166" t="str">
        <f>tblIndicators!Z10</f>
        <v>1.1.6) Dedicated cyber security teams</v>
      </c>
      <c r="F35" s="166" t="str">
        <f>tblIndicators!J10</f>
        <v>Scale 0-2</v>
      </c>
      <c r="G35" s="165">
        <f>tblIndicators!AC10</f>
        <v>0.2</v>
      </c>
      <c r="H35" s="165">
        <f t="shared" si="11"/>
        <v>2</v>
      </c>
      <c r="I35" s="85">
        <f t="shared" si="8"/>
        <v>100</v>
      </c>
      <c r="J35" s="165">
        <f t="shared" si="9"/>
        <v>50</v>
      </c>
      <c r="K35" s="165"/>
      <c r="L35" s="165"/>
      <c r="M35" s="85">
        <f t="shared" si="12"/>
        <v>-50</v>
      </c>
      <c r="N35" s="85">
        <v>1</v>
      </c>
      <c r="P35" s="85" t="b">
        <f t="shared" si="13"/>
        <v>1</v>
      </c>
      <c r="Q35" s="85">
        <f t="shared" si="14"/>
        <v>1</v>
      </c>
      <c r="R35" s="85">
        <f t="shared" si="15"/>
        <v>0</v>
      </c>
      <c r="U35" s="167">
        <f t="shared" si="16"/>
        <v>9</v>
      </c>
      <c r="V35" s="168">
        <f t="shared" si="17"/>
        <v>0</v>
      </c>
      <c r="W35" s="168"/>
      <c r="X35" s="169"/>
      <c r="Y35" s="85">
        <f t="shared" si="18"/>
        <v>21</v>
      </c>
      <c r="Z35" s="85">
        <f t="shared" si="19"/>
        <v>27</v>
      </c>
      <c r="AC35" s="85">
        <f t="shared" si="20"/>
        <v>47</v>
      </c>
      <c r="AD35" s="85">
        <f t="shared" si="21"/>
        <v>38</v>
      </c>
      <c r="AH35" s="85" t="str">
        <f t="shared" si="22"/>
        <v>4.1.6) Gun regulation and enforcement</v>
      </c>
      <c r="AI35" s="85" t="str">
        <f t="shared" si="23"/>
        <v>3.2.3) Frequency of pedestrian deaths</v>
      </c>
    </row>
    <row r="36" spans="1:35">
      <c r="A36" s="85">
        <f>tblIndicators!A11</f>
        <v>10</v>
      </c>
      <c r="B36" s="85">
        <f>tblIndicators!E11</f>
        <v>0</v>
      </c>
      <c r="C36" s="85">
        <f>tblIndicators!D11</f>
        <v>2</v>
      </c>
      <c r="D36" s="85">
        <f>tblIndicators!N11</f>
        <v>0</v>
      </c>
      <c r="E36" s="166" t="str">
        <f>tblIndicators!Z11</f>
        <v>1.2) Digital Security (Outputs)</v>
      </c>
      <c r="F36" s="166" t="str">
        <f>tblIndicators!J11</f>
        <v>Weighted sum of underlying indicator scores;</v>
      </c>
      <c r="G36" s="165">
        <f>tblIndicators!AC11</f>
        <v>0.5</v>
      </c>
      <c r="H36" s="165">
        <f t="shared" si="11"/>
        <v>0</v>
      </c>
      <c r="I36" s="85">
        <f t="shared" si="8"/>
        <v>80.08</v>
      </c>
      <c r="J36" s="165">
        <f t="shared" si="9"/>
        <v>68.8</v>
      </c>
      <c r="K36" s="165"/>
      <c r="L36" s="165"/>
      <c r="M36" s="85">
        <f t="shared" si="12"/>
        <v>-11.28</v>
      </c>
      <c r="N36" s="85">
        <v>1</v>
      </c>
      <c r="P36" s="85" t="b">
        <f t="shared" si="13"/>
        <v>0</v>
      </c>
      <c r="Q36" s="85">
        <f t="shared" si="14"/>
        <v>0</v>
      </c>
      <c r="R36" s="85">
        <f t="shared" si="15"/>
        <v>0</v>
      </c>
      <c r="U36" s="167">
        <f t="shared" si="16"/>
        <v>0</v>
      </c>
      <c r="V36" s="168">
        <f t="shared" si="17"/>
        <v>0</v>
      </c>
      <c r="W36" s="168"/>
      <c r="X36" s="169"/>
      <c r="Y36" s="85">
        <f t="shared" si="18"/>
        <v>25</v>
      </c>
      <c r="Z36" s="85">
        <f t="shared" si="19"/>
        <v>27</v>
      </c>
      <c r="AC36" s="85">
        <f t="shared" si="20"/>
        <v>46</v>
      </c>
      <c r="AD36" s="85">
        <f t="shared" si="21"/>
        <v>34</v>
      </c>
      <c r="AH36" s="85" t="str">
        <f t="shared" si="22"/>
        <v>4.1.5) Private security measures</v>
      </c>
      <c r="AI36" s="85" t="str">
        <f t="shared" si="23"/>
        <v>3.1.5) Disaster Management/Business Continuity Plan</v>
      </c>
    </row>
    <row r="37" spans="1:35">
      <c r="A37" s="85">
        <f>tblIndicators!A12</f>
        <v>11</v>
      </c>
      <c r="B37" s="85">
        <f>tblIndicators!E12</f>
        <v>0</v>
      </c>
      <c r="C37" s="85">
        <f>tblIndicators!D12</f>
        <v>3</v>
      </c>
      <c r="D37" s="85">
        <f>tblIndicators!N12</f>
        <v>1</v>
      </c>
      <c r="E37" s="166" t="str">
        <f>tblIndicators!Z12</f>
        <v>1.2.1) Frequency of identity theft</v>
      </c>
      <c r="F37" s="166" t="str">
        <f>tblIndicators!J12</f>
        <v>%</v>
      </c>
      <c r="G37" s="165">
        <f>tblIndicators!AC12</f>
        <v>0.333333333333333</v>
      </c>
      <c r="H37" s="165" t="str">
        <f t="shared" si="11"/>
        <v/>
      </c>
      <c r="I37" s="85">
        <f t="shared" si="8"/>
        <v>98</v>
      </c>
      <c r="J37" s="165">
        <f t="shared" si="9"/>
        <v>96</v>
      </c>
      <c r="K37" s="165"/>
      <c r="L37" s="165"/>
      <c r="M37" s="85">
        <f t="shared" si="12"/>
        <v>-2</v>
      </c>
      <c r="N37" s="85">
        <v>1</v>
      </c>
      <c r="P37" s="85" t="b">
        <f t="shared" si="13"/>
        <v>1</v>
      </c>
      <c r="Q37" s="85">
        <f t="shared" si="14"/>
        <v>1</v>
      </c>
      <c r="R37" s="85">
        <f t="shared" si="15"/>
        <v>0</v>
      </c>
      <c r="U37" s="167">
        <f t="shared" si="16"/>
        <v>11</v>
      </c>
      <c r="V37" s="168">
        <f t="shared" si="17"/>
        <v>0</v>
      </c>
      <c r="W37" s="168"/>
      <c r="X37" s="169"/>
      <c r="Y37" s="85">
        <f t="shared" si="18"/>
        <v>20</v>
      </c>
      <c r="Z37" s="85">
        <f t="shared" si="19"/>
        <v>27</v>
      </c>
      <c r="AC37" s="85">
        <f t="shared" si="20"/>
        <v>44</v>
      </c>
      <c r="AD37" s="85">
        <f t="shared" si="21"/>
        <v>33</v>
      </c>
      <c r="AH37" s="85" t="str">
        <f t="shared" si="22"/>
        <v>4.1.3) Availability of street-level crime data</v>
      </c>
      <c r="AI37" s="85" t="str">
        <f t="shared" si="23"/>
        <v>3.1.4) Quality of electricity infrastructure</v>
      </c>
    </row>
    <row r="38" spans="1:35">
      <c r="A38" s="85">
        <f>tblIndicators!A13</f>
        <v>12</v>
      </c>
      <c r="B38" s="85">
        <f>tblIndicators!E13</f>
        <v>0</v>
      </c>
      <c r="C38" s="85">
        <f>tblIndicators!D13</f>
        <v>3</v>
      </c>
      <c r="D38" s="85">
        <f>tblIndicators!N13</f>
        <v>1</v>
      </c>
      <c r="E38" s="166" t="str">
        <f>tblIndicators!Z13</f>
        <v>1.2.2) Precentage of computers infected</v>
      </c>
      <c r="F38" s="166" t="str">
        <f>tblIndicators!J13</f>
        <v>Scale 1-5 (1 best, 5 worst)</v>
      </c>
      <c r="G38" s="165">
        <f>tblIndicators!AC13</f>
        <v>0.333333333333333</v>
      </c>
      <c r="H38" s="165" t="str">
        <f t="shared" si="11"/>
        <v/>
      </c>
      <c r="I38" s="85">
        <f t="shared" si="8"/>
        <v>50</v>
      </c>
      <c r="J38" s="165">
        <f t="shared" si="9"/>
        <v>25</v>
      </c>
      <c r="K38" s="165"/>
      <c r="L38" s="165"/>
      <c r="M38" s="85">
        <f t="shared" si="12"/>
        <v>-25</v>
      </c>
      <c r="N38" s="85">
        <v>1</v>
      </c>
      <c r="P38" s="85" t="b">
        <f t="shared" si="13"/>
        <v>1</v>
      </c>
      <c r="Q38" s="85">
        <f t="shared" si="14"/>
        <v>1</v>
      </c>
      <c r="R38" s="85">
        <f t="shared" si="15"/>
        <v>0</v>
      </c>
      <c r="U38" s="167">
        <f t="shared" si="16"/>
        <v>12</v>
      </c>
      <c r="V38" s="168">
        <f t="shared" si="17"/>
        <v>0</v>
      </c>
      <c r="W38" s="168"/>
      <c r="X38" s="169"/>
      <c r="Y38" s="85">
        <f t="shared" si="18"/>
        <v>19</v>
      </c>
      <c r="Z38" s="85">
        <f t="shared" si="19"/>
        <v>27</v>
      </c>
      <c r="AC38" s="85">
        <f t="shared" si="20"/>
        <v>43</v>
      </c>
      <c r="AD38" s="85">
        <f t="shared" si="21"/>
        <v>30</v>
      </c>
      <c r="AH38" s="85" t="str">
        <f t="shared" si="22"/>
        <v>4.1.2) Community-based patrolling</v>
      </c>
      <c r="AI38" s="85" t="str">
        <f t="shared" si="23"/>
        <v>3.1.1) Enforcement of transport safety</v>
      </c>
    </row>
    <row r="39" spans="1:35">
      <c r="A39" s="85">
        <f>tblIndicators!A14</f>
        <v>13</v>
      </c>
      <c r="B39" s="85">
        <f>tblIndicators!E14</f>
        <v>0</v>
      </c>
      <c r="C39" s="85">
        <f>tblIndicators!D14</f>
        <v>3</v>
      </c>
      <c r="D39" s="85">
        <f>tblIndicators!N14</f>
        <v>0</v>
      </c>
      <c r="E39" s="166" t="str">
        <f>tblIndicators!Z14</f>
        <v>1.2.3) Percent with internet access</v>
      </c>
      <c r="F39" s="166" t="str">
        <f>tblIndicators!J14</f>
        <v>%</v>
      </c>
      <c r="G39" s="165">
        <f>tblIndicators!AC14</f>
        <v>0.333333333333333</v>
      </c>
      <c r="H39" s="165">
        <f t="shared" si="11"/>
        <v>0.88</v>
      </c>
      <c r="I39" s="85">
        <f t="shared" si="8"/>
        <v>92.24</v>
      </c>
      <c r="J39" s="165">
        <f t="shared" si="9"/>
        <v>85.39</v>
      </c>
      <c r="K39" s="165"/>
      <c r="L39" s="165"/>
      <c r="M39" s="85">
        <f t="shared" si="12"/>
        <v>-6.84999999999999</v>
      </c>
      <c r="N39" s="85">
        <v>1</v>
      </c>
      <c r="P39" s="85" t="b">
        <f t="shared" si="13"/>
        <v>1</v>
      </c>
      <c r="Q39" s="85">
        <f t="shared" si="14"/>
        <v>1</v>
      </c>
      <c r="R39" s="85">
        <f t="shared" si="15"/>
        <v>0</v>
      </c>
      <c r="U39" s="167">
        <f t="shared" si="16"/>
        <v>13</v>
      </c>
      <c r="V39" s="168">
        <f t="shared" si="17"/>
        <v>0</v>
      </c>
      <c r="W39" s="168"/>
      <c r="X39" s="169"/>
      <c r="Y39" s="85">
        <f t="shared" si="18"/>
        <v>18</v>
      </c>
      <c r="Z39" s="85">
        <f t="shared" si="19"/>
        <v>27</v>
      </c>
      <c r="AC39" s="85">
        <f t="shared" si="20"/>
        <v>37</v>
      </c>
      <c r="AD39" s="85">
        <f t="shared" si="21"/>
        <v>27</v>
      </c>
      <c r="AH39" s="85" t="str">
        <f t="shared" si="22"/>
        <v>3.2.2) Frequency of vehicular accidents</v>
      </c>
      <c r="AI39" s="85" t="str">
        <f t="shared" si="23"/>
        <v>2.2.5) Cancer mortality rate ( Cancer deaths per 100,000)</v>
      </c>
    </row>
    <row r="40" spans="1:35">
      <c r="A40" s="85">
        <f>tblIndicators!A15</f>
        <v>14</v>
      </c>
      <c r="B40" s="85">
        <f>tblIndicators!E15</f>
        <v>0</v>
      </c>
      <c r="C40" s="85">
        <f>tblIndicators!D15</f>
        <v>1</v>
      </c>
      <c r="D40" s="85">
        <f>tblIndicators!N15</f>
        <v>0</v>
      </c>
      <c r="E40" s="166" t="str">
        <f>tblIndicators!Z15</f>
        <v>2) HEALTH SECURITY</v>
      </c>
      <c r="F40" s="166" t="str">
        <f>tblIndicators!J15</f>
        <v>Weighted sum of underlying sub-category scores.</v>
      </c>
      <c r="G40" s="165">
        <f>tblIndicators!AC15</f>
        <v>0.25</v>
      </c>
      <c r="H40" s="165">
        <f t="shared" si="11"/>
        <v>0</v>
      </c>
      <c r="I40" s="85">
        <f t="shared" si="8"/>
        <v>52.06</v>
      </c>
      <c r="J40" s="165">
        <f t="shared" si="9"/>
        <v>76.95</v>
      </c>
      <c r="K40" s="165"/>
      <c r="L40" s="165"/>
      <c r="M40" s="85">
        <f t="shared" si="12"/>
        <v>-24.89</v>
      </c>
      <c r="N40" s="85">
        <v>1</v>
      </c>
      <c r="P40" s="85" t="b">
        <f t="shared" si="13"/>
        <v>0</v>
      </c>
      <c r="Q40" s="85">
        <f t="shared" si="14"/>
        <v>0</v>
      </c>
      <c r="R40" s="85">
        <f t="shared" si="15"/>
        <v>0</v>
      </c>
      <c r="U40" s="167">
        <f t="shared" si="16"/>
        <v>0</v>
      </c>
      <c r="V40" s="168">
        <f t="shared" si="17"/>
        <v>0</v>
      </c>
      <c r="W40" s="168"/>
      <c r="X40" s="169"/>
      <c r="Y40" s="85">
        <f t="shared" si="18"/>
        <v>25</v>
      </c>
      <c r="Z40" s="85">
        <f t="shared" si="19"/>
        <v>27</v>
      </c>
      <c r="AC40" s="85">
        <f t="shared" si="20"/>
        <v>36</v>
      </c>
      <c r="AD40" s="85">
        <f t="shared" si="21"/>
        <v>26</v>
      </c>
      <c r="AH40" s="85" t="str">
        <f t="shared" si="22"/>
        <v>3.2.1) Death from natural disasters</v>
      </c>
      <c r="AI40" s="85" t="str">
        <f t="shared" si="23"/>
        <v>2.2.4) Infant mortality (deaths per 1,000 live births)</v>
      </c>
    </row>
    <row r="41" spans="1:35">
      <c r="A41" s="85">
        <f>tblIndicators!A16</f>
        <v>15</v>
      </c>
      <c r="B41" s="85">
        <f>tblIndicators!E16</f>
        <v>0</v>
      </c>
      <c r="C41" s="85">
        <f>tblIndicators!D16</f>
        <v>2</v>
      </c>
      <c r="D41" s="85">
        <f>tblIndicators!N16</f>
        <v>0</v>
      </c>
      <c r="E41" s="166" t="str">
        <f>tblIndicators!Z16</f>
        <v>2.1) Health Security (Inputs)</v>
      </c>
      <c r="F41" s="166" t="str">
        <f>tblIndicators!J16</f>
        <v>Weighted sum of underlying indicator scores;</v>
      </c>
      <c r="G41" s="165">
        <f>tblIndicators!AC16</f>
        <v>0.5</v>
      </c>
      <c r="H41" s="165">
        <f t="shared" si="11"/>
        <v>0</v>
      </c>
      <c r="I41" s="85">
        <f t="shared" si="8"/>
        <v>54.38</v>
      </c>
      <c r="J41" s="165">
        <f t="shared" si="9"/>
        <v>73.46</v>
      </c>
      <c r="K41" s="165"/>
      <c r="L41" s="165"/>
      <c r="M41" s="85">
        <f t="shared" si="12"/>
        <v>-19.08</v>
      </c>
      <c r="N41" s="85">
        <v>1</v>
      </c>
      <c r="P41" s="85" t="b">
        <f t="shared" si="13"/>
        <v>0</v>
      </c>
      <c r="Q41" s="85">
        <f t="shared" si="14"/>
        <v>0</v>
      </c>
      <c r="R41" s="85">
        <f t="shared" si="15"/>
        <v>0</v>
      </c>
      <c r="U41" s="167">
        <f t="shared" si="16"/>
        <v>0</v>
      </c>
      <c r="V41" s="168">
        <f t="shared" si="17"/>
        <v>0</v>
      </c>
      <c r="W41" s="168"/>
      <c r="X41" s="169"/>
      <c r="Y41" s="85">
        <f t="shared" si="18"/>
        <v>25</v>
      </c>
      <c r="Z41" s="85">
        <f t="shared" si="19"/>
        <v>27</v>
      </c>
      <c r="AC41" s="85">
        <f t="shared" si="20"/>
        <v>32</v>
      </c>
      <c r="AD41" s="85">
        <f t="shared" si="21"/>
        <v>25</v>
      </c>
      <c r="AH41" s="85" t="str">
        <f t="shared" si="22"/>
        <v>3.1.3) Quality of road infrastructure</v>
      </c>
      <c r="AI41" s="85" t="str">
        <f t="shared" si="23"/>
        <v>2.2.3) Life expectancy</v>
      </c>
    </row>
    <row r="42" spans="1:35">
      <c r="A42" s="85">
        <f>tblIndicators!A17</f>
        <v>16</v>
      </c>
      <c r="B42" s="85">
        <f>tblIndicators!E17</f>
        <v>0</v>
      </c>
      <c r="C42" s="85">
        <f>tblIndicators!D17</f>
        <v>3</v>
      </c>
      <c r="D42" s="85">
        <f>tblIndicators!N17</f>
        <v>0</v>
      </c>
      <c r="E42" s="166" t="str">
        <f>tblIndicators!Z17</f>
        <v>2.1.1) Environmental policies</v>
      </c>
      <c r="F42" s="166" t="str">
        <f>tblIndicators!J17</f>
        <v>Scale 0-100</v>
      </c>
      <c r="G42" s="165">
        <f>tblIndicators!AC17</f>
        <v>0.166666666666667</v>
      </c>
      <c r="H42" s="165">
        <f t="shared" si="11"/>
        <v>64</v>
      </c>
      <c r="I42" s="85">
        <f t="shared" si="8"/>
        <v>53.85</v>
      </c>
      <c r="J42" s="165">
        <f t="shared" si="9"/>
        <v>92.82</v>
      </c>
      <c r="K42" s="165"/>
      <c r="L42" s="165"/>
      <c r="M42" s="85">
        <f t="shared" si="12"/>
        <v>-38.97</v>
      </c>
      <c r="N42" s="85">
        <v>1</v>
      </c>
      <c r="P42" s="85" t="b">
        <f t="shared" si="13"/>
        <v>1</v>
      </c>
      <c r="Q42" s="85">
        <f t="shared" si="14"/>
        <v>0</v>
      </c>
      <c r="R42" s="85">
        <f t="shared" si="15"/>
        <v>1</v>
      </c>
      <c r="U42" s="167">
        <f t="shared" si="16"/>
        <v>0</v>
      </c>
      <c r="V42" s="168">
        <f t="shared" si="17"/>
        <v>16</v>
      </c>
      <c r="W42" s="168"/>
      <c r="X42" s="169"/>
      <c r="Y42" s="85">
        <f t="shared" si="18"/>
        <v>25</v>
      </c>
      <c r="Z42" s="85">
        <f t="shared" si="19"/>
        <v>23</v>
      </c>
      <c r="AC42" s="85">
        <f t="shared" si="20"/>
        <v>31</v>
      </c>
      <c r="AD42" s="85">
        <f t="shared" si="21"/>
        <v>24</v>
      </c>
      <c r="AH42" s="85" t="str">
        <f t="shared" si="22"/>
        <v>3.1.2) Pedestrian friendliness</v>
      </c>
      <c r="AI42" s="85" t="str">
        <f t="shared" si="23"/>
        <v>2.2.2) Water quality</v>
      </c>
    </row>
    <row r="43" spans="1:35">
      <c r="A43" s="85">
        <f>tblIndicators!A18</f>
        <v>17</v>
      </c>
      <c r="B43" s="85">
        <f>tblIndicators!E18</f>
        <v>0</v>
      </c>
      <c r="C43" s="85">
        <f>tblIndicators!D18</f>
        <v>3</v>
      </c>
      <c r="D43" s="85">
        <f>tblIndicators!N18</f>
        <v>0</v>
      </c>
      <c r="E43" s="166" t="str">
        <f>tblIndicators!Z18</f>
        <v>2.1.2) Access to healthcare</v>
      </c>
      <c r="F43" s="166" t="str">
        <f>tblIndicators!J18</f>
        <v>Scale 0-100</v>
      </c>
      <c r="G43" s="165">
        <f>tblIndicators!AC18</f>
        <v>0.166666666666667</v>
      </c>
      <c r="H43" s="165">
        <f t="shared" si="11"/>
        <v>75</v>
      </c>
      <c r="I43" s="85">
        <f t="shared" si="8"/>
        <v>74.75</v>
      </c>
      <c r="J43" s="165">
        <f t="shared" si="9"/>
        <v>100</v>
      </c>
      <c r="K43" s="165"/>
      <c r="L43" s="165"/>
      <c r="M43" s="85">
        <f t="shared" si="12"/>
        <v>-25.25</v>
      </c>
      <c r="N43" s="85">
        <v>1</v>
      </c>
      <c r="P43" s="85" t="b">
        <f t="shared" si="13"/>
        <v>1</v>
      </c>
      <c r="Q43" s="85">
        <f t="shared" si="14"/>
        <v>0</v>
      </c>
      <c r="R43" s="85">
        <f t="shared" si="15"/>
        <v>1</v>
      </c>
      <c r="U43" s="167">
        <f t="shared" si="16"/>
        <v>0</v>
      </c>
      <c r="V43" s="168">
        <f t="shared" si="17"/>
        <v>17</v>
      </c>
      <c r="W43" s="168"/>
      <c r="X43" s="169"/>
      <c r="Y43" s="85">
        <f t="shared" si="18"/>
        <v>25</v>
      </c>
      <c r="Z43" s="85">
        <f t="shared" si="19"/>
        <v>22</v>
      </c>
      <c r="AC43" s="85">
        <f t="shared" si="20"/>
        <v>20</v>
      </c>
      <c r="AD43" s="85">
        <f t="shared" si="21"/>
        <v>23</v>
      </c>
      <c r="AH43" s="85" t="str">
        <f t="shared" si="22"/>
        <v>2.1.5) Access to safe and quality food</v>
      </c>
      <c r="AI43" s="85" t="str">
        <f t="shared" si="23"/>
        <v>2.2.1) Air quality</v>
      </c>
    </row>
    <row r="44" spans="1:35">
      <c r="A44" s="85">
        <f>tblIndicators!A19</f>
        <v>18</v>
      </c>
      <c r="B44" s="85">
        <f>tblIndicators!E19</f>
        <v>0</v>
      </c>
      <c r="C44" s="85">
        <f>tblIndicators!D19</f>
        <v>3</v>
      </c>
      <c r="D44" s="85">
        <f>tblIndicators!N19</f>
        <v>0</v>
      </c>
      <c r="E44" s="166" t="str">
        <f>tblIndicators!Z19</f>
        <v>2.1.3) No. of beds per 1000</v>
      </c>
      <c r="F44" s="166" t="str">
        <f>tblIndicators!J19</f>
        <v>#/1000</v>
      </c>
      <c r="G44" s="165">
        <f>tblIndicators!AC19</f>
        <v>0.166666666666667</v>
      </c>
      <c r="H44" s="165">
        <f t="shared" si="11"/>
        <v>2.7</v>
      </c>
      <c r="I44" s="85">
        <f t="shared" si="8"/>
        <v>11.19</v>
      </c>
      <c r="J44" s="165">
        <f t="shared" si="9"/>
        <v>29.58</v>
      </c>
      <c r="K44" s="165"/>
      <c r="L44" s="165"/>
      <c r="M44" s="85">
        <f t="shared" si="12"/>
        <v>-18.39</v>
      </c>
      <c r="N44" s="85">
        <v>1</v>
      </c>
      <c r="P44" s="85" t="b">
        <f t="shared" si="13"/>
        <v>1</v>
      </c>
      <c r="Q44" s="85">
        <f t="shared" si="14"/>
        <v>0</v>
      </c>
      <c r="R44" s="85">
        <f t="shared" si="15"/>
        <v>1</v>
      </c>
      <c r="U44" s="167">
        <f t="shared" si="16"/>
        <v>0</v>
      </c>
      <c r="V44" s="168">
        <f t="shared" si="17"/>
        <v>18</v>
      </c>
      <c r="W44" s="168"/>
      <c r="X44" s="169"/>
      <c r="Y44" s="85">
        <f t="shared" si="18"/>
        <v>25</v>
      </c>
      <c r="Z44" s="85">
        <f t="shared" si="19"/>
        <v>21</v>
      </c>
      <c r="AC44" s="85">
        <f t="shared" si="20"/>
        <v>13</v>
      </c>
      <c r="AD44" s="85">
        <f t="shared" si="21"/>
        <v>21</v>
      </c>
      <c r="AH44" s="85" t="str">
        <f t="shared" si="22"/>
        <v>1.2.3) Percent with internet access</v>
      </c>
      <c r="AI44" s="85" t="str">
        <f t="shared" si="23"/>
        <v>2.1.6) Quality of health services</v>
      </c>
    </row>
    <row r="45" spans="1:35">
      <c r="A45" s="85">
        <f>tblIndicators!A20</f>
        <v>19</v>
      </c>
      <c r="B45" s="85">
        <f>tblIndicators!E20</f>
        <v>0</v>
      </c>
      <c r="C45" s="85">
        <f>tblIndicators!D20</f>
        <v>3</v>
      </c>
      <c r="D45" s="85">
        <f>tblIndicators!N20</f>
        <v>0</v>
      </c>
      <c r="E45" s="166" t="str">
        <f>tblIndicators!Z20</f>
        <v>2.1.4) Number of doctors per 1000</v>
      </c>
      <c r="F45" s="166" t="str">
        <f>tblIndicators!J20</f>
        <v>#/1000</v>
      </c>
      <c r="G45" s="165">
        <f>tblIndicators!AC20</f>
        <v>0.166666666666667</v>
      </c>
      <c r="H45" s="165">
        <f t="shared" si="11"/>
        <v>2.3</v>
      </c>
      <c r="I45" s="85">
        <f t="shared" si="8"/>
        <v>11.49</v>
      </c>
      <c r="J45" s="165">
        <f t="shared" si="9"/>
        <v>18.39</v>
      </c>
      <c r="K45" s="165"/>
      <c r="L45" s="165"/>
      <c r="M45" s="85">
        <f t="shared" si="12"/>
        <v>-6.9</v>
      </c>
      <c r="N45" s="85">
        <v>1</v>
      </c>
      <c r="P45" s="85" t="b">
        <f t="shared" si="13"/>
        <v>1</v>
      </c>
      <c r="Q45" s="85">
        <f t="shared" si="14"/>
        <v>0</v>
      </c>
      <c r="R45" s="85">
        <f t="shared" si="15"/>
        <v>1</v>
      </c>
      <c r="U45" s="167">
        <f t="shared" si="16"/>
        <v>0</v>
      </c>
      <c r="V45" s="168">
        <f t="shared" si="17"/>
        <v>19</v>
      </c>
      <c r="W45" s="168"/>
      <c r="X45" s="169"/>
      <c r="Y45" s="85">
        <f t="shared" si="18"/>
        <v>25</v>
      </c>
      <c r="Z45" s="85">
        <f t="shared" si="19"/>
        <v>20</v>
      </c>
      <c r="AC45" s="85">
        <f t="shared" si="20"/>
        <v>12</v>
      </c>
      <c r="AD45" s="85">
        <f t="shared" si="21"/>
        <v>20</v>
      </c>
      <c r="AH45" s="85" t="str">
        <f t="shared" si="22"/>
        <v>1.2.2) Precentage of computers infected</v>
      </c>
      <c r="AI45" s="85" t="str">
        <f t="shared" si="23"/>
        <v>2.1.5) Access to safe and quality food</v>
      </c>
    </row>
    <row r="46" spans="1:35">
      <c r="A46" s="85">
        <f>tblIndicators!A21</f>
        <v>20</v>
      </c>
      <c r="B46" s="85">
        <f>tblIndicators!E21</f>
        <v>0</v>
      </c>
      <c r="C46" s="85">
        <f>tblIndicators!D21</f>
        <v>3</v>
      </c>
      <c r="D46" s="85">
        <f>tblIndicators!N21</f>
        <v>0</v>
      </c>
      <c r="E46" s="166" t="str">
        <f>tblIndicators!Z21</f>
        <v>2.1.5) Access to safe and quality food</v>
      </c>
      <c r="F46" s="166" t="str">
        <f>tblIndicators!J21</f>
        <v>Scale 1-100</v>
      </c>
      <c r="G46" s="165">
        <f>tblIndicators!AC21</f>
        <v>0.166666666666667</v>
      </c>
      <c r="H46" s="165">
        <f t="shared" si="11"/>
        <v>100</v>
      </c>
      <c r="I46" s="85">
        <f t="shared" si="8"/>
        <v>100</v>
      </c>
      <c r="J46" s="165">
        <f t="shared" si="9"/>
        <v>100</v>
      </c>
      <c r="K46" s="165"/>
      <c r="L46" s="165"/>
      <c r="M46" s="85">
        <f t="shared" si="12"/>
        <v>0</v>
      </c>
      <c r="N46" s="85">
        <v>1</v>
      </c>
      <c r="P46" s="85" t="b">
        <f t="shared" si="13"/>
        <v>1</v>
      </c>
      <c r="Q46" s="85">
        <f t="shared" si="14"/>
        <v>1</v>
      </c>
      <c r="R46" s="85">
        <f t="shared" si="15"/>
        <v>1</v>
      </c>
      <c r="U46" s="167">
        <f t="shared" si="16"/>
        <v>20</v>
      </c>
      <c r="V46" s="168">
        <f t="shared" si="17"/>
        <v>20</v>
      </c>
      <c r="W46" s="168"/>
      <c r="X46" s="169"/>
      <c r="Y46" s="85">
        <f t="shared" si="18"/>
        <v>17</v>
      </c>
      <c r="Z46" s="85">
        <f t="shared" si="19"/>
        <v>19</v>
      </c>
      <c r="AC46" s="85">
        <f t="shared" si="20"/>
        <v>11</v>
      </c>
      <c r="AD46" s="85">
        <f t="shared" si="21"/>
        <v>19</v>
      </c>
      <c r="AH46" s="85" t="str">
        <f t="shared" si="22"/>
        <v>1.2.1) Frequency of identity theft</v>
      </c>
      <c r="AI46" s="85" t="str">
        <f t="shared" si="23"/>
        <v>2.1.4) Number of doctors per 1000</v>
      </c>
    </row>
    <row r="47" spans="1:35">
      <c r="A47" s="85">
        <f>tblIndicators!A22</f>
        <v>21</v>
      </c>
      <c r="B47" s="85">
        <f>tblIndicators!E22</f>
        <v>0</v>
      </c>
      <c r="C47" s="85">
        <f>tblIndicators!D22</f>
        <v>3</v>
      </c>
      <c r="D47" s="85">
        <f>tblIndicators!N22</f>
        <v>1</v>
      </c>
      <c r="E47" s="166" t="str">
        <f>tblIndicators!Z22</f>
        <v>2.1.6) Quality of health services</v>
      </c>
      <c r="F47" s="166" t="str">
        <f>tblIndicators!J22</f>
        <v>Scale 1-5</v>
      </c>
      <c r="G47" s="165">
        <f>tblIndicators!AC22</f>
        <v>0.166666666666667</v>
      </c>
      <c r="H47" s="165" t="str">
        <f t="shared" si="11"/>
        <v/>
      </c>
      <c r="I47" s="85">
        <f t="shared" si="8"/>
        <v>75</v>
      </c>
      <c r="J47" s="165">
        <f t="shared" si="9"/>
        <v>100</v>
      </c>
      <c r="K47" s="165"/>
      <c r="L47" s="165"/>
      <c r="M47" s="85">
        <f t="shared" si="12"/>
        <v>-25</v>
      </c>
      <c r="N47" s="85">
        <v>1</v>
      </c>
      <c r="P47" s="85" t="b">
        <f t="shared" si="13"/>
        <v>1</v>
      </c>
      <c r="Q47" s="85">
        <f t="shared" si="14"/>
        <v>0</v>
      </c>
      <c r="R47" s="85">
        <f t="shared" si="15"/>
        <v>1</v>
      </c>
      <c r="U47" s="167">
        <f t="shared" si="16"/>
        <v>0</v>
      </c>
      <c r="V47" s="168">
        <f t="shared" si="17"/>
        <v>21</v>
      </c>
      <c r="W47" s="168"/>
      <c r="X47" s="169"/>
      <c r="Y47" s="85">
        <f t="shared" si="18"/>
        <v>25</v>
      </c>
      <c r="Z47" s="85">
        <f t="shared" si="19"/>
        <v>18</v>
      </c>
      <c r="AC47" s="85">
        <f t="shared" si="20"/>
        <v>9</v>
      </c>
      <c r="AD47" s="85">
        <f t="shared" si="21"/>
        <v>18</v>
      </c>
      <c r="AH47" s="85" t="str">
        <f t="shared" si="22"/>
        <v>1.1.6) Dedicated cyber security teams</v>
      </c>
      <c r="AI47" s="85" t="str">
        <f t="shared" si="23"/>
        <v>2.1.3) No. of beds per 1000</v>
      </c>
    </row>
    <row r="48" spans="1:35">
      <c r="A48" s="85">
        <f>tblIndicators!A23</f>
        <v>22</v>
      </c>
      <c r="B48" s="85">
        <f>tblIndicators!E23</f>
        <v>0</v>
      </c>
      <c r="C48" s="85">
        <f>tblIndicators!D23</f>
        <v>2</v>
      </c>
      <c r="D48" s="85">
        <f>tblIndicators!N23</f>
        <v>0</v>
      </c>
      <c r="E48" s="166" t="str">
        <f>tblIndicators!Z23</f>
        <v>2.2) Health Security (Outputs)</v>
      </c>
      <c r="F48" s="166" t="str">
        <f>tblIndicators!J23</f>
        <v>Weighted sum of underlying indicator scores;</v>
      </c>
      <c r="G48" s="165">
        <f>tblIndicators!AC23</f>
        <v>0.5</v>
      </c>
      <c r="H48" s="165">
        <f t="shared" si="11"/>
        <v>0</v>
      </c>
      <c r="I48" s="85">
        <f t="shared" si="8"/>
        <v>49.75</v>
      </c>
      <c r="J48" s="165">
        <f t="shared" si="9"/>
        <v>80.44</v>
      </c>
      <c r="K48" s="165"/>
      <c r="L48" s="165"/>
      <c r="M48" s="85">
        <f t="shared" si="12"/>
        <v>-30.69</v>
      </c>
      <c r="N48" s="85">
        <v>1</v>
      </c>
      <c r="P48" s="85" t="b">
        <f t="shared" si="13"/>
        <v>0</v>
      </c>
      <c r="Q48" s="85">
        <f t="shared" si="14"/>
        <v>0</v>
      </c>
      <c r="R48" s="85">
        <f t="shared" si="15"/>
        <v>0</v>
      </c>
      <c r="U48" s="167">
        <f t="shared" si="16"/>
        <v>0</v>
      </c>
      <c r="V48" s="168">
        <f t="shared" si="17"/>
        <v>0</v>
      </c>
      <c r="W48" s="168"/>
      <c r="X48" s="169"/>
      <c r="Y48" s="85">
        <f t="shared" si="18"/>
        <v>25</v>
      </c>
      <c r="Z48" s="85">
        <f t="shared" si="19"/>
        <v>27</v>
      </c>
      <c r="AC48" s="85">
        <f t="shared" si="20"/>
        <v>8</v>
      </c>
      <c r="AD48" s="85">
        <f t="shared" si="21"/>
        <v>17</v>
      </c>
      <c r="AH48" s="85" t="str">
        <f t="shared" si="22"/>
        <v>1.1.5) Level of technology employed</v>
      </c>
      <c r="AI48" s="85" t="str">
        <f t="shared" si="23"/>
        <v>2.1.2) Access to healthcare</v>
      </c>
    </row>
    <row r="49" spans="1:35">
      <c r="A49" s="85">
        <f>tblIndicators!A24</f>
        <v>23</v>
      </c>
      <c r="B49" s="85">
        <f>tblIndicators!E24</f>
        <v>0</v>
      </c>
      <c r="C49" s="85">
        <f>tblIndicators!D24</f>
        <v>3</v>
      </c>
      <c r="D49" s="85">
        <f>tblIndicators!N24</f>
        <v>1</v>
      </c>
      <c r="E49" s="166" t="str">
        <f>tblIndicators!Z24</f>
        <v>2.2.1) Air quality</v>
      </c>
      <c r="F49" s="166" t="str">
        <f>tblIndicators!J24</f>
        <v>PM 2.5 levels</v>
      </c>
      <c r="G49" s="165">
        <f>tblIndicators!AC24</f>
        <v>0.2</v>
      </c>
      <c r="H49" s="165" t="str">
        <f t="shared" si="11"/>
        <v/>
      </c>
      <c r="I49" s="85">
        <f t="shared" si="8"/>
        <v>36.36</v>
      </c>
      <c r="J49" s="165">
        <f t="shared" si="9"/>
        <v>83.84</v>
      </c>
      <c r="K49" s="165"/>
      <c r="L49" s="165"/>
      <c r="M49" s="85">
        <f t="shared" si="12"/>
        <v>-47.48</v>
      </c>
      <c r="N49" s="85">
        <v>1</v>
      </c>
      <c r="P49" s="85" t="b">
        <f t="shared" si="13"/>
        <v>1</v>
      </c>
      <c r="Q49" s="85">
        <f t="shared" si="14"/>
        <v>0</v>
      </c>
      <c r="R49" s="85">
        <f t="shared" si="15"/>
        <v>1</v>
      </c>
      <c r="U49" s="167">
        <f t="shared" si="16"/>
        <v>0</v>
      </c>
      <c r="V49" s="168">
        <f t="shared" si="17"/>
        <v>23</v>
      </c>
      <c r="W49" s="168"/>
      <c r="X49" s="169"/>
      <c r="Y49" s="85">
        <f t="shared" si="18"/>
        <v>25</v>
      </c>
      <c r="Z49" s="85">
        <f t="shared" si="19"/>
        <v>17</v>
      </c>
      <c r="AC49" s="85">
        <f t="shared" si="20"/>
        <v>7</v>
      </c>
      <c r="AD49" s="85">
        <f t="shared" si="21"/>
        <v>16</v>
      </c>
      <c r="AH49" s="85" t="str">
        <f t="shared" si="22"/>
        <v>1.1.4) Public-private partnerships</v>
      </c>
      <c r="AI49" s="85" t="str">
        <f t="shared" si="23"/>
        <v>2.1.1) Environmental policies</v>
      </c>
    </row>
    <row r="50" spans="1:35">
      <c r="A50" s="85">
        <f>tblIndicators!A25</f>
        <v>24</v>
      </c>
      <c r="B50" s="85">
        <f>tblIndicators!E25</f>
        <v>0</v>
      </c>
      <c r="C50" s="85">
        <f>tblIndicators!D25</f>
        <v>3</v>
      </c>
      <c r="D50" s="85">
        <f>tblIndicators!N25</f>
        <v>0</v>
      </c>
      <c r="E50" s="166" t="str">
        <f>tblIndicators!Z25</f>
        <v>2.2.2) Water quality</v>
      </c>
      <c r="F50" s="166" t="str">
        <f>tblIndicators!J25</f>
        <v>Scale 1-100</v>
      </c>
      <c r="G50" s="165">
        <f>tblIndicators!AC25</f>
        <v>0.2</v>
      </c>
      <c r="H50" s="165">
        <f t="shared" si="11"/>
        <v>61</v>
      </c>
      <c r="I50" s="85">
        <f t="shared" si="8"/>
        <v>60.61</v>
      </c>
      <c r="J50" s="165">
        <f t="shared" si="9"/>
        <v>85.35</v>
      </c>
      <c r="K50" s="165"/>
      <c r="L50" s="165"/>
      <c r="M50" s="85">
        <f t="shared" si="12"/>
        <v>-24.74</v>
      </c>
      <c r="N50" s="85">
        <v>1</v>
      </c>
      <c r="P50" s="85" t="b">
        <f t="shared" si="13"/>
        <v>1</v>
      </c>
      <c r="Q50" s="85">
        <f t="shared" si="14"/>
        <v>0</v>
      </c>
      <c r="R50" s="85">
        <f t="shared" si="15"/>
        <v>1</v>
      </c>
      <c r="U50" s="167">
        <f t="shared" si="16"/>
        <v>0</v>
      </c>
      <c r="V50" s="168">
        <f t="shared" si="17"/>
        <v>24</v>
      </c>
      <c r="W50" s="168"/>
      <c r="X50" s="169"/>
      <c r="Y50" s="85">
        <f t="shared" si="18"/>
        <v>25</v>
      </c>
      <c r="Z50" s="85">
        <f t="shared" si="19"/>
        <v>16</v>
      </c>
      <c r="AC50" s="85">
        <f t="shared" si="20"/>
        <v>5</v>
      </c>
      <c r="AD50" s="85">
        <f t="shared" si="21"/>
        <v>8</v>
      </c>
      <c r="AH50" s="85" t="str">
        <f t="shared" si="22"/>
        <v>1.1.2) Citizen awareness of digital threats</v>
      </c>
      <c r="AI50" s="85" t="str">
        <f t="shared" si="23"/>
        <v>1.1.5) Level of technology employed</v>
      </c>
    </row>
    <row r="51" spans="1:35">
      <c r="A51" s="85">
        <f>tblIndicators!A26</f>
        <v>25</v>
      </c>
      <c r="B51" s="85">
        <f>tblIndicators!E26</f>
        <v>0</v>
      </c>
      <c r="C51" s="85">
        <f>tblIndicators!D26</f>
        <v>3</v>
      </c>
      <c r="D51" s="85">
        <f>tblIndicators!N26</f>
        <v>0</v>
      </c>
      <c r="E51" s="166" t="str">
        <f>tblIndicators!Z26</f>
        <v>2.2.3) Life expectancy</v>
      </c>
      <c r="F51" s="166" t="str">
        <f>tblIndicators!J26</f>
        <v>Years (Higher yrs, better)</v>
      </c>
      <c r="G51" s="165">
        <f>tblIndicators!AC26</f>
        <v>0.2</v>
      </c>
      <c r="H51" s="165">
        <f t="shared" si="11"/>
        <v>77</v>
      </c>
      <c r="I51" s="85">
        <f t="shared" si="8"/>
        <v>66.16</v>
      </c>
      <c r="J51" s="165">
        <f t="shared" si="9"/>
        <v>83.12</v>
      </c>
      <c r="K51" s="165"/>
      <c r="L51" s="165"/>
      <c r="M51" s="85">
        <f t="shared" si="12"/>
        <v>-16.96</v>
      </c>
      <c r="N51" s="85">
        <v>1</v>
      </c>
      <c r="P51" s="85" t="b">
        <f t="shared" si="13"/>
        <v>1</v>
      </c>
      <c r="Q51" s="85">
        <f t="shared" si="14"/>
        <v>0</v>
      </c>
      <c r="R51" s="85">
        <f t="shared" si="15"/>
        <v>1</v>
      </c>
      <c r="U51" s="167">
        <f t="shared" si="16"/>
        <v>0</v>
      </c>
      <c r="V51" s="168">
        <f t="shared" si="17"/>
        <v>25</v>
      </c>
      <c r="W51" s="168"/>
      <c r="X51" s="169"/>
      <c r="Y51" s="85">
        <f t="shared" si="18"/>
        <v>25</v>
      </c>
      <c r="Z51" s="85">
        <f t="shared" si="19"/>
        <v>15</v>
      </c>
      <c r="AC51" s="85">
        <f t="shared" si="20"/>
        <v>1</v>
      </c>
      <c r="AD51" s="85">
        <f t="shared" si="21"/>
        <v>7</v>
      </c>
      <c r="AH51" s="85" t="str">
        <f t="shared" si="22"/>
        <v/>
      </c>
      <c r="AI51" s="85" t="str">
        <f t="shared" si="23"/>
        <v>1.1.4) Public-private partnerships</v>
      </c>
    </row>
    <row r="52" spans="1:35">
      <c r="A52" s="85">
        <f>tblIndicators!A27</f>
        <v>26</v>
      </c>
      <c r="B52" s="85">
        <f>tblIndicators!E27</f>
        <v>0</v>
      </c>
      <c r="C52" s="85">
        <f>tblIndicators!D27</f>
        <v>3</v>
      </c>
      <c r="D52" s="85">
        <f>tblIndicators!N27</f>
        <v>1</v>
      </c>
      <c r="E52" s="166" t="str">
        <f>tblIndicators!Z27</f>
        <v>2.2.4) Infant mortality (deaths per 1,000 live births)</v>
      </c>
      <c r="F52" s="166" t="str">
        <f>tblIndicators!J27</f>
        <v>Deaths per 1,000 births</v>
      </c>
      <c r="G52" s="165">
        <f>tblIndicators!AC27</f>
        <v>0.2</v>
      </c>
      <c r="H52" s="165" t="str">
        <f t="shared" si="11"/>
        <v/>
      </c>
      <c r="I52" s="85">
        <f t="shared" si="8"/>
        <v>85.6</v>
      </c>
      <c r="J52" s="165">
        <f t="shared" si="9"/>
        <v>93.27</v>
      </c>
      <c r="K52" s="165"/>
      <c r="L52" s="165"/>
      <c r="M52" s="85">
        <f t="shared" si="12"/>
        <v>-7.67</v>
      </c>
      <c r="N52" s="85">
        <v>1</v>
      </c>
      <c r="P52" s="85" t="b">
        <f t="shared" si="13"/>
        <v>1</v>
      </c>
      <c r="Q52" s="85">
        <f t="shared" si="14"/>
        <v>0</v>
      </c>
      <c r="R52" s="85">
        <f t="shared" si="15"/>
        <v>1</v>
      </c>
      <c r="U52" s="167">
        <f t="shared" si="16"/>
        <v>0</v>
      </c>
      <c r="V52" s="168">
        <f t="shared" si="17"/>
        <v>26</v>
      </c>
      <c r="W52" s="168"/>
      <c r="X52" s="169"/>
      <c r="Y52" s="85">
        <f t="shared" si="18"/>
        <v>25</v>
      </c>
      <c r="Z52" s="85">
        <f t="shared" si="19"/>
        <v>14</v>
      </c>
      <c r="AC52" s="85" t="e">
        <f t="shared" si="20"/>
        <v>#N/A</v>
      </c>
      <c r="AD52" s="85">
        <f t="shared" si="21"/>
        <v>4</v>
      </c>
      <c r="AH52" s="85" t="str">
        <f t="shared" si="22"/>
        <v/>
      </c>
      <c r="AI52" s="85" t="str">
        <f t="shared" si="23"/>
        <v>1.1.1) Privacy policy</v>
      </c>
    </row>
    <row r="53" spans="1:35">
      <c r="A53" s="85">
        <f>tblIndicators!A28</f>
        <v>27</v>
      </c>
      <c r="B53" s="85">
        <f>tblIndicators!E28</f>
        <v>0</v>
      </c>
      <c r="C53" s="85">
        <f>tblIndicators!D28</f>
        <v>3</v>
      </c>
      <c r="D53" s="85">
        <f>tblIndicators!N28</f>
        <v>1</v>
      </c>
      <c r="E53" s="166" t="str">
        <f>tblIndicators!Z28</f>
        <v>2.2.5) Cancer mortality rate ( Cancer deaths per 100,000)</v>
      </c>
      <c r="F53" s="166" t="str">
        <f>tblIndicators!J28</f>
        <v>Cancer deaths per 100,000</v>
      </c>
      <c r="G53" s="165">
        <f>tblIndicators!AC28</f>
        <v>0.2</v>
      </c>
      <c r="H53" s="165" t="str">
        <f t="shared" si="11"/>
        <v/>
      </c>
      <c r="I53" s="85">
        <f t="shared" si="8"/>
        <v>0</v>
      </c>
      <c r="J53" s="165">
        <f t="shared" si="9"/>
        <v>56.63</v>
      </c>
      <c r="K53" s="165"/>
      <c r="L53" s="165"/>
      <c r="M53" s="85">
        <f t="shared" si="12"/>
        <v>-56.63</v>
      </c>
      <c r="N53" s="85">
        <v>1</v>
      </c>
      <c r="P53" s="85" t="b">
        <f t="shared" si="13"/>
        <v>1</v>
      </c>
      <c r="Q53" s="85">
        <f t="shared" si="14"/>
        <v>0</v>
      </c>
      <c r="R53" s="85">
        <f t="shared" si="15"/>
        <v>1</v>
      </c>
      <c r="U53" s="167">
        <f t="shared" si="16"/>
        <v>0</v>
      </c>
      <c r="V53" s="168">
        <f t="shared" si="17"/>
        <v>27</v>
      </c>
      <c r="W53" s="168"/>
      <c r="X53" s="169"/>
      <c r="Y53" s="85">
        <f t="shared" si="18"/>
        <v>25</v>
      </c>
      <c r="Z53" s="85">
        <f t="shared" si="19"/>
        <v>13</v>
      </c>
      <c r="AC53" s="85" t="e">
        <f t="shared" si="20"/>
        <v>#N/A</v>
      </c>
      <c r="AD53" s="85">
        <f t="shared" si="21"/>
        <v>1</v>
      </c>
      <c r="AH53" s="85" t="str">
        <f t="shared" si="22"/>
        <v/>
      </c>
      <c r="AI53" s="85" t="str">
        <f t="shared" si="23"/>
        <v/>
      </c>
    </row>
    <row r="54" spans="1:35">
      <c r="A54" s="85">
        <f>tblIndicators!A29</f>
        <v>28</v>
      </c>
      <c r="B54" s="85">
        <f>tblIndicators!E29</f>
        <v>0</v>
      </c>
      <c r="C54" s="85">
        <f>tblIndicators!D29</f>
        <v>1</v>
      </c>
      <c r="D54" s="85">
        <f>tblIndicators!N29</f>
        <v>0</v>
      </c>
      <c r="E54" s="166" t="str">
        <f>tblIndicators!Z29</f>
        <v>3) INFRASTRUCTURE SAFETY</v>
      </c>
      <c r="F54" s="166" t="str">
        <f>tblIndicators!J29</f>
        <v>Weighted sum of underlying sub-category scores;</v>
      </c>
      <c r="G54" s="165">
        <f>tblIndicators!AC29</f>
        <v>0.25</v>
      </c>
      <c r="H54" s="165">
        <f t="shared" si="11"/>
        <v>0</v>
      </c>
      <c r="I54" s="85">
        <f t="shared" si="8"/>
        <v>86.16</v>
      </c>
      <c r="J54" s="165">
        <f t="shared" si="9"/>
        <v>78.22</v>
      </c>
      <c r="K54" s="165"/>
      <c r="L54" s="165"/>
      <c r="M54" s="85">
        <f t="shared" si="12"/>
        <v>-7.94</v>
      </c>
      <c r="N54" s="85">
        <v>1</v>
      </c>
      <c r="P54" s="85" t="b">
        <f t="shared" si="13"/>
        <v>0</v>
      </c>
      <c r="Q54" s="85">
        <f t="shared" si="14"/>
        <v>0</v>
      </c>
      <c r="R54" s="85">
        <f t="shared" si="15"/>
        <v>0</v>
      </c>
      <c r="U54" s="167">
        <f t="shared" si="16"/>
        <v>0</v>
      </c>
      <c r="V54" s="168">
        <f t="shared" si="17"/>
        <v>0</v>
      </c>
      <c r="W54" s="168"/>
      <c r="X54" s="169"/>
      <c r="Y54" s="85">
        <f t="shared" si="18"/>
        <v>25</v>
      </c>
      <c r="Z54" s="85">
        <f t="shared" si="19"/>
        <v>27</v>
      </c>
      <c r="AC54" s="85" t="e">
        <f t="shared" si="20"/>
        <v>#N/A</v>
      </c>
      <c r="AD54" s="85" t="e">
        <f t="shared" si="21"/>
        <v>#N/A</v>
      </c>
      <c r="AH54" s="85" t="str">
        <f t="shared" si="22"/>
        <v/>
      </c>
      <c r="AI54" s="85" t="str">
        <f t="shared" si="23"/>
        <v/>
      </c>
    </row>
    <row r="55" spans="1:35">
      <c r="A55" s="85">
        <f>tblIndicators!A30</f>
        <v>29</v>
      </c>
      <c r="B55" s="85">
        <f>tblIndicators!E30</f>
        <v>0</v>
      </c>
      <c r="C55" s="85">
        <f>tblIndicators!D30</f>
        <v>2</v>
      </c>
      <c r="D55" s="85">
        <f>tblIndicators!N30</f>
        <v>0</v>
      </c>
      <c r="E55" s="166" t="str">
        <f>tblIndicators!Z30</f>
        <v>3.1) Infrastructure Safety (Inputs)</v>
      </c>
      <c r="F55" s="166" t="str">
        <f>tblIndicators!J30</f>
        <v>Weighted sum of underlying indicator scores;</v>
      </c>
      <c r="G55" s="165">
        <f>tblIndicators!AC30</f>
        <v>0.5</v>
      </c>
      <c r="H55" s="165">
        <f t="shared" si="11"/>
        <v>0</v>
      </c>
      <c r="I55" s="85">
        <f t="shared" si="8"/>
        <v>86.5</v>
      </c>
      <c r="J55" s="165">
        <f t="shared" si="9"/>
        <v>77.5</v>
      </c>
      <c r="K55" s="165"/>
      <c r="L55" s="165"/>
      <c r="M55" s="85">
        <f t="shared" si="12"/>
        <v>-9</v>
      </c>
      <c r="N55" s="85">
        <v>1</v>
      </c>
      <c r="P55" s="85" t="b">
        <f t="shared" si="13"/>
        <v>0</v>
      </c>
      <c r="Q55" s="85">
        <f t="shared" si="14"/>
        <v>0</v>
      </c>
      <c r="R55" s="85">
        <f t="shared" si="15"/>
        <v>0</v>
      </c>
      <c r="U55" s="167">
        <f t="shared" si="16"/>
        <v>0</v>
      </c>
      <c r="V55" s="168">
        <f t="shared" si="17"/>
        <v>0</v>
      </c>
      <c r="W55" s="168"/>
      <c r="X55" s="169"/>
      <c r="Y55" s="85">
        <f t="shared" si="18"/>
        <v>25</v>
      </c>
      <c r="Z55" s="85">
        <f t="shared" si="19"/>
        <v>27</v>
      </c>
      <c r="AC55" s="85" t="e">
        <f t="shared" si="20"/>
        <v>#N/A</v>
      </c>
      <c r="AD55" s="85" t="e">
        <f t="shared" si="21"/>
        <v>#N/A</v>
      </c>
      <c r="AH55" s="85" t="str">
        <f t="shared" si="22"/>
        <v/>
      </c>
      <c r="AI55" s="85" t="str">
        <f t="shared" si="23"/>
        <v/>
      </c>
    </row>
    <row r="56" spans="1:35">
      <c r="A56" s="85">
        <f>tblIndicators!A31</f>
        <v>30</v>
      </c>
      <c r="B56" s="85">
        <f>tblIndicators!E31</f>
        <v>0</v>
      </c>
      <c r="C56" s="85">
        <f>tblIndicators!D31</f>
        <v>3</v>
      </c>
      <c r="D56" s="85">
        <f>tblIndicators!N31</f>
        <v>0</v>
      </c>
      <c r="E56" s="166" t="str">
        <f>tblIndicators!Z31</f>
        <v>3.1.1) Enforcement of transport safety</v>
      </c>
      <c r="F56" s="166" t="str">
        <f>tblIndicators!J31</f>
        <v>Scale 0-10</v>
      </c>
      <c r="G56" s="165">
        <f>tblIndicators!AC31</f>
        <v>0.2</v>
      </c>
      <c r="H56" s="165">
        <f t="shared" si="11"/>
        <v>8.25</v>
      </c>
      <c r="I56" s="85">
        <f t="shared" si="8"/>
        <v>82.5</v>
      </c>
      <c r="J56" s="165">
        <f t="shared" si="9"/>
        <v>87.5</v>
      </c>
      <c r="K56" s="165"/>
      <c r="L56" s="165"/>
      <c r="M56" s="85">
        <f t="shared" si="12"/>
        <v>-5</v>
      </c>
      <c r="N56" s="85">
        <v>1</v>
      </c>
      <c r="P56" s="85" t="b">
        <f t="shared" si="13"/>
        <v>1</v>
      </c>
      <c r="Q56" s="85">
        <f t="shared" si="14"/>
        <v>0</v>
      </c>
      <c r="R56" s="85">
        <f t="shared" si="15"/>
        <v>1</v>
      </c>
      <c r="U56" s="167">
        <f t="shared" si="16"/>
        <v>0</v>
      </c>
      <c r="V56" s="168">
        <f t="shared" si="17"/>
        <v>30</v>
      </c>
      <c r="W56" s="168"/>
      <c r="X56" s="169"/>
      <c r="Y56" s="85">
        <f t="shared" si="18"/>
        <v>25</v>
      </c>
      <c r="Z56" s="85">
        <f t="shared" si="19"/>
        <v>12</v>
      </c>
      <c r="AC56" s="85" t="e">
        <f t="shared" si="20"/>
        <v>#N/A</v>
      </c>
      <c r="AD56" s="85" t="e">
        <f t="shared" si="21"/>
        <v>#N/A</v>
      </c>
      <c r="AH56" s="85" t="str">
        <f t="shared" si="22"/>
        <v/>
      </c>
      <c r="AI56" s="85" t="str">
        <f t="shared" si="23"/>
        <v/>
      </c>
    </row>
    <row r="57" spans="1:35">
      <c r="A57" s="85">
        <f>tblIndicators!A32</f>
        <v>31</v>
      </c>
      <c r="B57" s="85">
        <f>tblIndicators!E32</f>
        <v>0</v>
      </c>
      <c r="C57" s="85">
        <f>tblIndicators!D32</f>
        <v>3</v>
      </c>
      <c r="D57" s="85">
        <f>tblIndicators!N32</f>
        <v>0</v>
      </c>
      <c r="E57" s="166" t="str">
        <f>tblIndicators!Z32</f>
        <v>3.1.2) Pedestrian friendliness</v>
      </c>
      <c r="F57" s="166" t="str">
        <f>tblIndicators!J32</f>
        <v>Scale 1-5</v>
      </c>
      <c r="G57" s="165">
        <f>tblIndicators!AC32</f>
        <v>0.2</v>
      </c>
      <c r="H57" s="165">
        <f t="shared" si="11"/>
        <v>5</v>
      </c>
      <c r="I57" s="85">
        <f t="shared" si="8"/>
        <v>100</v>
      </c>
      <c r="J57" s="165">
        <f t="shared" si="9"/>
        <v>25</v>
      </c>
      <c r="K57" s="165"/>
      <c r="L57" s="165"/>
      <c r="M57" s="85">
        <f t="shared" si="12"/>
        <v>-75</v>
      </c>
      <c r="N57" s="85">
        <v>1</v>
      </c>
      <c r="P57" s="85" t="b">
        <f t="shared" si="13"/>
        <v>1</v>
      </c>
      <c r="Q57" s="85">
        <f t="shared" si="14"/>
        <v>1</v>
      </c>
      <c r="R57" s="85">
        <f t="shared" si="15"/>
        <v>0</v>
      </c>
      <c r="U57" s="167">
        <f t="shared" si="16"/>
        <v>31</v>
      </c>
      <c r="V57" s="168">
        <f t="shared" si="17"/>
        <v>0</v>
      </c>
      <c r="W57" s="168"/>
      <c r="X57" s="169"/>
      <c r="Y57" s="85">
        <f t="shared" si="18"/>
        <v>16</v>
      </c>
      <c r="Z57" s="85">
        <f t="shared" si="19"/>
        <v>27</v>
      </c>
      <c r="AC57" s="85" t="e">
        <f t="shared" si="20"/>
        <v>#N/A</v>
      </c>
      <c r="AD57" s="85" t="e">
        <f t="shared" si="21"/>
        <v>#N/A</v>
      </c>
      <c r="AH57" s="85" t="str">
        <f t="shared" si="22"/>
        <v/>
      </c>
      <c r="AI57" s="85" t="str">
        <f t="shared" si="23"/>
        <v/>
      </c>
    </row>
    <row r="58" spans="1:35">
      <c r="A58" s="85">
        <f>tblIndicators!A33</f>
        <v>32</v>
      </c>
      <c r="B58" s="85">
        <f>tblIndicators!E33</f>
        <v>0</v>
      </c>
      <c r="C58" s="85">
        <f>tblIndicators!D33</f>
        <v>3</v>
      </c>
      <c r="D58" s="85">
        <f>tblIndicators!N33</f>
        <v>1</v>
      </c>
      <c r="E58" s="166" t="str">
        <f>tblIndicators!Z33</f>
        <v>3.1.3) Quality of road infrastructure</v>
      </c>
      <c r="F58" s="166" t="str">
        <f>tblIndicators!J33</f>
        <v>Scale 1-5</v>
      </c>
      <c r="G58" s="165">
        <f>tblIndicators!AC33</f>
        <v>0.2</v>
      </c>
      <c r="H58" s="165" t="str">
        <f t="shared" si="11"/>
        <v/>
      </c>
      <c r="I58" s="85">
        <f t="shared" si="8"/>
        <v>100</v>
      </c>
      <c r="J58" s="165">
        <f t="shared" si="9"/>
        <v>75</v>
      </c>
      <c r="K58" s="165"/>
      <c r="L58" s="165"/>
      <c r="M58" s="85">
        <f t="shared" si="12"/>
        <v>-25</v>
      </c>
      <c r="N58" s="85">
        <v>1</v>
      </c>
      <c r="P58" s="85" t="b">
        <f t="shared" si="13"/>
        <v>1</v>
      </c>
      <c r="Q58" s="85">
        <f t="shared" si="14"/>
        <v>1</v>
      </c>
      <c r="R58" s="85">
        <f t="shared" si="15"/>
        <v>0</v>
      </c>
      <c r="U58" s="167">
        <f t="shared" si="16"/>
        <v>32</v>
      </c>
      <c r="V58" s="168">
        <f t="shared" si="17"/>
        <v>0</v>
      </c>
      <c r="W58" s="168"/>
      <c r="X58" s="169"/>
      <c r="Y58" s="85">
        <f t="shared" si="18"/>
        <v>15</v>
      </c>
      <c r="Z58" s="85">
        <f t="shared" si="19"/>
        <v>27</v>
      </c>
      <c r="AC58" s="85" t="e">
        <f t="shared" si="20"/>
        <v>#N/A</v>
      </c>
      <c r="AD58" s="85" t="e">
        <f t="shared" si="21"/>
        <v>#N/A</v>
      </c>
      <c r="AH58" s="85" t="str">
        <f t="shared" si="22"/>
        <v/>
      </c>
      <c r="AI58" s="85" t="str">
        <f t="shared" si="23"/>
        <v/>
      </c>
    </row>
    <row r="59" spans="1:35">
      <c r="A59" s="85">
        <f>tblIndicators!A34</f>
        <v>33</v>
      </c>
      <c r="B59" s="85">
        <f>tblIndicators!E34</f>
        <v>0</v>
      </c>
      <c r="C59" s="85">
        <f>tblIndicators!D34</f>
        <v>3</v>
      </c>
      <c r="D59" s="85">
        <f>tblIndicators!N34</f>
        <v>1</v>
      </c>
      <c r="E59" s="166" t="str">
        <f>tblIndicators!Z34</f>
        <v>3.1.4) Quality of electricity infrastructure</v>
      </c>
      <c r="F59" s="166" t="str">
        <f>tblIndicators!J34</f>
        <v>Scale 1-5</v>
      </c>
      <c r="G59" s="165">
        <f>tblIndicators!AC34</f>
        <v>0.2</v>
      </c>
      <c r="H59" s="165" t="str">
        <f t="shared" si="11"/>
        <v/>
      </c>
      <c r="I59" s="85">
        <f t="shared" si="8"/>
        <v>75</v>
      </c>
      <c r="J59" s="165">
        <f t="shared" si="9"/>
        <v>100</v>
      </c>
      <c r="K59" s="165"/>
      <c r="L59" s="165"/>
      <c r="M59" s="85">
        <f t="shared" si="12"/>
        <v>-25</v>
      </c>
      <c r="N59" s="85">
        <v>1</v>
      </c>
      <c r="P59" s="85" t="b">
        <f t="shared" si="13"/>
        <v>1</v>
      </c>
      <c r="Q59" s="85">
        <f t="shared" si="14"/>
        <v>0</v>
      </c>
      <c r="R59" s="85">
        <f t="shared" si="15"/>
        <v>1</v>
      </c>
      <c r="U59" s="167">
        <f t="shared" si="16"/>
        <v>0</v>
      </c>
      <c r="V59" s="168">
        <f t="shared" si="17"/>
        <v>33</v>
      </c>
      <c r="W59" s="168"/>
      <c r="X59" s="169"/>
      <c r="Y59" s="85">
        <f t="shared" si="18"/>
        <v>25</v>
      </c>
      <c r="Z59" s="85">
        <f t="shared" si="19"/>
        <v>11</v>
      </c>
      <c r="AC59" s="85" t="e">
        <f t="shared" si="20"/>
        <v>#N/A</v>
      </c>
      <c r="AD59" s="85" t="e">
        <f t="shared" si="21"/>
        <v>#N/A</v>
      </c>
      <c r="AH59" s="85" t="str">
        <f t="shared" si="22"/>
        <v/>
      </c>
      <c r="AI59" s="85" t="str">
        <f t="shared" si="23"/>
        <v/>
      </c>
    </row>
    <row r="60" spans="1:35">
      <c r="A60" s="85">
        <f>tblIndicators!A35</f>
        <v>34</v>
      </c>
      <c r="B60" s="85">
        <f>tblIndicators!E35</f>
        <v>0</v>
      </c>
      <c r="C60" s="85">
        <f>tblIndicators!D35</f>
        <v>3</v>
      </c>
      <c r="D60" s="85">
        <f>tblIndicators!N35</f>
        <v>1</v>
      </c>
      <c r="E60" s="166" t="str">
        <f>tblIndicators!Z35</f>
        <v>3.1.5) Disaster Management/Business Continuity Plan</v>
      </c>
      <c r="F60" s="166" t="str">
        <f>tblIndicators!J35</f>
        <v>Scale 1-5</v>
      </c>
      <c r="G60" s="165">
        <f>tblIndicators!AC35</f>
        <v>0.2</v>
      </c>
      <c r="H60" s="165" t="str">
        <f t="shared" si="11"/>
        <v/>
      </c>
      <c r="I60" s="85">
        <f t="shared" si="8"/>
        <v>75</v>
      </c>
      <c r="J60" s="165">
        <f t="shared" si="9"/>
        <v>100</v>
      </c>
      <c r="K60" s="165"/>
      <c r="L60" s="165"/>
      <c r="M60" s="85">
        <f t="shared" si="12"/>
        <v>-25</v>
      </c>
      <c r="N60" s="85">
        <v>1</v>
      </c>
      <c r="P60" s="85" t="b">
        <f t="shared" si="13"/>
        <v>1</v>
      </c>
      <c r="Q60" s="85">
        <f t="shared" si="14"/>
        <v>0</v>
      </c>
      <c r="R60" s="85">
        <f t="shared" si="15"/>
        <v>1</v>
      </c>
      <c r="U60" s="167">
        <f t="shared" si="16"/>
        <v>0</v>
      </c>
      <c r="V60" s="168">
        <f t="shared" si="17"/>
        <v>34</v>
      </c>
      <c r="W60" s="168"/>
      <c r="X60" s="169"/>
      <c r="Y60" s="85">
        <f t="shared" si="18"/>
        <v>25</v>
      </c>
      <c r="Z60" s="85">
        <f t="shared" si="19"/>
        <v>10</v>
      </c>
      <c r="AC60" s="85" t="e">
        <f t="shared" si="20"/>
        <v>#N/A</v>
      </c>
      <c r="AD60" s="85" t="e">
        <f t="shared" si="21"/>
        <v>#N/A</v>
      </c>
      <c r="AH60" s="85" t="str">
        <f t="shared" si="22"/>
        <v/>
      </c>
      <c r="AI60" s="85" t="str">
        <f t="shared" si="23"/>
        <v/>
      </c>
    </row>
    <row r="61" spans="1:35">
      <c r="A61" s="85">
        <f>tblIndicators!A36</f>
        <v>35</v>
      </c>
      <c r="B61" s="85">
        <f>tblIndicators!E36</f>
        <v>0</v>
      </c>
      <c r="C61" s="85">
        <f>tblIndicators!D36</f>
        <v>2</v>
      </c>
      <c r="D61" s="85">
        <f>tblIndicators!N36</f>
        <v>0</v>
      </c>
      <c r="E61" s="166" t="str">
        <f>tblIndicators!Z36</f>
        <v>3.2) Infrastructure Safety (Outputs)</v>
      </c>
      <c r="F61" s="166" t="str">
        <f>tblIndicators!J36</f>
        <v>Weighted sum of underlying indicator scores;</v>
      </c>
      <c r="G61" s="165">
        <f>tblIndicators!AC36</f>
        <v>0.5</v>
      </c>
      <c r="H61" s="165">
        <f t="shared" si="11"/>
        <v>0</v>
      </c>
      <c r="I61" s="85">
        <f t="shared" si="8"/>
        <v>85.81</v>
      </c>
      <c r="J61" s="165">
        <f t="shared" si="9"/>
        <v>78.94</v>
      </c>
      <c r="K61" s="165"/>
      <c r="L61" s="165"/>
      <c r="M61" s="85">
        <f t="shared" si="12"/>
        <v>-6.87</v>
      </c>
      <c r="N61" s="85">
        <v>1</v>
      </c>
      <c r="P61" s="85" t="b">
        <f t="shared" si="13"/>
        <v>0</v>
      </c>
      <c r="Q61" s="85">
        <f t="shared" si="14"/>
        <v>0</v>
      </c>
      <c r="R61" s="85">
        <f t="shared" si="15"/>
        <v>0</v>
      </c>
      <c r="U61" s="167">
        <f t="shared" si="16"/>
        <v>0</v>
      </c>
      <c r="V61" s="168">
        <f t="shared" si="17"/>
        <v>0</v>
      </c>
      <c r="W61" s="168"/>
      <c r="X61" s="169"/>
      <c r="Y61" s="85">
        <f t="shared" si="18"/>
        <v>25</v>
      </c>
      <c r="Z61" s="85">
        <f t="shared" si="19"/>
        <v>27</v>
      </c>
      <c r="AC61" s="85" t="e">
        <f t="shared" si="20"/>
        <v>#N/A</v>
      </c>
      <c r="AD61" s="85" t="e">
        <f t="shared" si="21"/>
        <v>#N/A</v>
      </c>
      <c r="AH61" s="85" t="str">
        <f t="shared" si="22"/>
        <v/>
      </c>
      <c r="AI61" s="85" t="str">
        <f t="shared" si="23"/>
        <v/>
      </c>
    </row>
    <row r="62" spans="1:35">
      <c r="A62" s="85">
        <f>tblIndicators!A37</f>
        <v>36</v>
      </c>
      <c r="B62" s="85">
        <f>tblIndicators!E37</f>
        <v>0</v>
      </c>
      <c r="C62" s="85">
        <f>tblIndicators!D37</f>
        <v>3</v>
      </c>
      <c r="D62" s="85">
        <f>tblIndicators!N37</f>
        <v>1</v>
      </c>
      <c r="E62" s="166" t="str">
        <f>tblIndicators!Z37</f>
        <v>3.2.1) Death from natural disasters</v>
      </c>
      <c r="F62" s="166" t="str">
        <f>tblIndicators!J37</f>
        <v>#/year/m</v>
      </c>
      <c r="G62" s="165">
        <f>tblIndicators!AC37</f>
        <v>0.25</v>
      </c>
      <c r="H62" s="165" t="str">
        <f t="shared" si="11"/>
        <v/>
      </c>
      <c r="I62" s="85">
        <f t="shared" si="8"/>
        <v>100</v>
      </c>
      <c r="J62" s="165">
        <f t="shared" si="9"/>
        <v>99.27</v>
      </c>
      <c r="K62" s="165"/>
      <c r="L62" s="165"/>
      <c r="M62" s="85">
        <f t="shared" si="12"/>
        <v>-0.730000000000004</v>
      </c>
      <c r="N62" s="85">
        <v>1</v>
      </c>
      <c r="P62" s="85" t="b">
        <f t="shared" si="13"/>
        <v>1</v>
      </c>
      <c r="Q62" s="85">
        <f t="shared" si="14"/>
        <v>1</v>
      </c>
      <c r="R62" s="85">
        <f t="shared" si="15"/>
        <v>0</v>
      </c>
      <c r="U62" s="167">
        <f t="shared" si="16"/>
        <v>36</v>
      </c>
      <c r="V62" s="168">
        <f t="shared" si="17"/>
        <v>0</v>
      </c>
      <c r="W62" s="168"/>
      <c r="X62" s="169"/>
      <c r="Y62" s="85">
        <f t="shared" si="18"/>
        <v>14</v>
      </c>
      <c r="Z62" s="85">
        <f t="shared" si="19"/>
        <v>27</v>
      </c>
      <c r="AC62" s="85" t="e">
        <f t="shared" si="20"/>
        <v>#N/A</v>
      </c>
      <c r="AD62" s="85" t="e">
        <f t="shared" si="21"/>
        <v>#N/A</v>
      </c>
      <c r="AH62" s="85" t="str">
        <f t="shared" si="22"/>
        <v/>
      </c>
      <c r="AI62" s="85" t="str">
        <f t="shared" si="23"/>
        <v/>
      </c>
    </row>
    <row r="63" spans="1:35">
      <c r="A63" s="85">
        <f>tblIndicators!A38</f>
        <v>37</v>
      </c>
      <c r="B63" s="85">
        <f>tblIndicators!E38</f>
        <v>0</v>
      </c>
      <c r="C63" s="85">
        <f>tblIndicators!D38</f>
        <v>3</v>
      </c>
      <c r="D63" s="85">
        <f>tblIndicators!N38</f>
        <v>1</v>
      </c>
      <c r="E63" s="166" t="str">
        <f>tblIndicators!Z38</f>
        <v>3.2.2) Frequency of vehicular accidents</v>
      </c>
      <c r="F63" s="166" t="str">
        <f>tblIndicators!J38</f>
        <v>#/year/m</v>
      </c>
      <c r="G63" s="165">
        <f>tblIndicators!AC38</f>
        <v>0.25</v>
      </c>
      <c r="H63" s="165" t="str">
        <f t="shared" si="11"/>
        <v/>
      </c>
      <c r="I63" s="85">
        <f t="shared" si="8"/>
        <v>97.75</v>
      </c>
      <c r="J63" s="165">
        <f t="shared" si="9"/>
        <v>67.74</v>
      </c>
      <c r="K63" s="165"/>
      <c r="L63" s="165"/>
      <c r="M63" s="85">
        <f t="shared" si="12"/>
        <v>-30.01</v>
      </c>
      <c r="N63" s="85">
        <v>1</v>
      </c>
      <c r="P63" s="85" t="b">
        <f t="shared" si="13"/>
        <v>1</v>
      </c>
      <c r="Q63" s="85">
        <f t="shared" si="14"/>
        <v>1</v>
      </c>
      <c r="R63" s="85">
        <f t="shared" si="15"/>
        <v>0</v>
      </c>
      <c r="U63" s="167">
        <f t="shared" si="16"/>
        <v>37</v>
      </c>
      <c r="V63" s="168">
        <f t="shared" si="17"/>
        <v>0</v>
      </c>
      <c r="W63" s="168"/>
      <c r="X63" s="169"/>
      <c r="Y63" s="85">
        <f t="shared" si="18"/>
        <v>13</v>
      </c>
      <c r="Z63" s="85">
        <f t="shared" si="19"/>
        <v>27</v>
      </c>
      <c r="AC63" s="85" t="e">
        <f t="shared" si="20"/>
        <v>#N/A</v>
      </c>
      <c r="AD63" s="85" t="e">
        <f t="shared" si="21"/>
        <v>#N/A</v>
      </c>
      <c r="AH63" s="85" t="str">
        <f t="shared" si="22"/>
        <v/>
      </c>
      <c r="AI63" s="85" t="str">
        <f t="shared" si="23"/>
        <v/>
      </c>
    </row>
    <row r="64" spans="1:35">
      <c r="A64" s="85">
        <f>tblIndicators!A39</f>
        <v>38</v>
      </c>
      <c r="B64" s="85">
        <f>tblIndicators!E39</f>
        <v>0</v>
      </c>
      <c r="C64" s="85">
        <f>tblIndicators!D39</f>
        <v>3</v>
      </c>
      <c r="D64" s="85">
        <f>tblIndicators!N39</f>
        <v>1</v>
      </c>
      <c r="E64" s="166" t="str">
        <f>tblIndicators!Z39</f>
        <v>3.2.3) Frequency of pedestrian deaths</v>
      </c>
      <c r="F64" s="166" t="str">
        <f>tblIndicators!J39</f>
        <v>#/year/m</v>
      </c>
      <c r="G64" s="165">
        <f>tblIndicators!AC39</f>
        <v>0.25</v>
      </c>
      <c r="H64" s="165" t="str">
        <f t="shared" si="11"/>
        <v/>
      </c>
      <c r="I64" s="85">
        <f t="shared" si="8"/>
        <v>96.83</v>
      </c>
      <c r="J64" s="165">
        <f t="shared" si="9"/>
        <v>98.88</v>
      </c>
      <c r="K64" s="165"/>
      <c r="L64" s="165"/>
      <c r="M64" s="85">
        <f t="shared" si="12"/>
        <v>-2.05</v>
      </c>
      <c r="N64" s="85">
        <v>1</v>
      </c>
      <c r="P64" s="85" t="b">
        <f t="shared" si="13"/>
        <v>1</v>
      </c>
      <c r="Q64" s="85">
        <f t="shared" si="14"/>
        <v>0</v>
      </c>
      <c r="R64" s="85">
        <f t="shared" si="15"/>
        <v>1</v>
      </c>
      <c r="U64" s="167">
        <f t="shared" si="16"/>
        <v>0</v>
      </c>
      <c r="V64" s="168">
        <f t="shared" si="17"/>
        <v>38</v>
      </c>
      <c r="W64" s="168"/>
      <c r="X64" s="169"/>
      <c r="Y64" s="85">
        <f t="shared" si="18"/>
        <v>25</v>
      </c>
      <c r="Z64" s="85">
        <f t="shared" si="19"/>
        <v>9</v>
      </c>
      <c r="AC64" s="85" t="e">
        <f t="shared" si="20"/>
        <v>#N/A</v>
      </c>
      <c r="AD64" s="85" t="e">
        <f t="shared" si="21"/>
        <v>#N/A</v>
      </c>
      <c r="AH64" s="85" t="str">
        <f t="shared" si="22"/>
        <v/>
      </c>
      <c r="AI64" s="85" t="str">
        <f t="shared" si="23"/>
        <v/>
      </c>
    </row>
    <row r="65" spans="1:35">
      <c r="A65" s="85">
        <f>tblIndicators!A40</f>
        <v>39</v>
      </c>
      <c r="B65" s="85">
        <f>tblIndicators!E40</f>
        <v>0</v>
      </c>
      <c r="C65" s="85">
        <f>tblIndicators!D40</f>
        <v>3</v>
      </c>
      <c r="D65" s="85">
        <f>tblIndicators!N40</f>
        <v>1</v>
      </c>
      <c r="E65" s="166" t="str">
        <f>tblIndicators!Z40</f>
        <v>3.2.4) Percent living in urban slums</v>
      </c>
      <c r="F65" s="166" t="str">
        <f>tblIndicators!J40</f>
        <v>%</v>
      </c>
      <c r="G65" s="165">
        <f>tblIndicators!AC40</f>
        <v>0.25</v>
      </c>
      <c r="H65" s="165" t="str">
        <f t="shared" si="11"/>
        <v/>
      </c>
      <c r="I65" s="85">
        <f t="shared" si="8"/>
        <v>48.68</v>
      </c>
      <c r="J65" s="165">
        <f t="shared" si="9"/>
        <v>49.85</v>
      </c>
      <c r="K65" s="165"/>
      <c r="L65" s="165"/>
      <c r="M65" s="85">
        <f t="shared" si="12"/>
        <v>-1.17</v>
      </c>
      <c r="N65" s="85">
        <v>1</v>
      </c>
      <c r="P65" s="85" t="b">
        <f t="shared" si="13"/>
        <v>1</v>
      </c>
      <c r="Q65" s="85">
        <f t="shared" si="14"/>
        <v>0</v>
      </c>
      <c r="R65" s="85">
        <f t="shared" si="15"/>
        <v>1</v>
      </c>
      <c r="U65" s="167">
        <f t="shared" si="16"/>
        <v>0</v>
      </c>
      <c r="V65" s="168">
        <f t="shared" si="17"/>
        <v>39</v>
      </c>
      <c r="W65" s="168"/>
      <c r="X65" s="169"/>
      <c r="Y65" s="85">
        <f t="shared" si="18"/>
        <v>25</v>
      </c>
      <c r="Z65" s="85">
        <f t="shared" si="19"/>
        <v>8</v>
      </c>
      <c r="AC65" s="85" t="e">
        <f t="shared" si="20"/>
        <v>#N/A</v>
      </c>
      <c r="AD65" s="85" t="e">
        <f t="shared" si="21"/>
        <v>#N/A</v>
      </c>
      <c r="AH65" s="85" t="str">
        <f t="shared" si="22"/>
        <v/>
      </c>
      <c r="AI65" s="85" t="str">
        <f t="shared" si="23"/>
        <v/>
      </c>
    </row>
    <row r="66" spans="1:35">
      <c r="A66" s="85">
        <f>tblIndicators!A41</f>
        <v>40</v>
      </c>
      <c r="B66" s="85">
        <f>tblIndicators!E41</f>
        <v>0</v>
      </c>
      <c r="C66" s="85">
        <f>tblIndicators!D41</f>
        <v>1</v>
      </c>
      <c r="D66" s="85">
        <f>tblIndicators!N41</f>
        <v>0</v>
      </c>
      <c r="E66" s="166" t="str">
        <f>tblIndicators!Z41</f>
        <v>4) PERSONAL SAFETY</v>
      </c>
      <c r="F66" s="166" t="str">
        <f>tblIndicators!J41</f>
        <v>Weighted sum of underlying indicator scores;</v>
      </c>
      <c r="G66" s="165">
        <f>tblIndicators!AC41</f>
        <v>0.25</v>
      </c>
      <c r="H66" s="165">
        <f t="shared" si="11"/>
        <v>0</v>
      </c>
      <c r="I66" s="85">
        <f t="shared" si="8"/>
        <v>67.39</v>
      </c>
      <c r="J66" s="165">
        <f t="shared" si="9"/>
        <v>71.29</v>
      </c>
      <c r="K66" s="165"/>
      <c r="L66" s="165"/>
      <c r="M66" s="85">
        <f t="shared" si="12"/>
        <v>-3.90000000000001</v>
      </c>
      <c r="N66" s="85">
        <v>1</v>
      </c>
      <c r="P66" s="85" t="b">
        <f t="shared" si="13"/>
        <v>0</v>
      </c>
      <c r="Q66" s="85">
        <f t="shared" si="14"/>
        <v>0</v>
      </c>
      <c r="R66" s="85">
        <f t="shared" si="15"/>
        <v>0</v>
      </c>
      <c r="U66" s="167">
        <f t="shared" si="16"/>
        <v>0</v>
      </c>
      <c r="V66" s="168">
        <f t="shared" si="17"/>
        <v>0</v>
      </c>
      <c r="W66" s="168"/>
      <c r="X66" s="169"/>
      <c r="Y66" s="85">
        <f t="shared" si="18"/>
        <v>25</v>
      </c>
      <c r="Z66" s="85">
        <f t="shared" si="19"/>
        <v>27</v>
      </c>
      <c r="AC66" s="85" t="e">
        <f t="shared" si="20"/>
        <v>#N/A</v>
      </c>
      <c r="AD66" s="85" t="e">
        <f t="shared" si="21"/>
        <v>#N/A</v>
      </c>
      <c r="AH66" s="85" t="str">
        <f t="shared" si="22"/>
        <v/>
      </c>
      <c r="AI66" s="85" t="str">
        <f t="shared" si="23"/>
        <v/>
      </c>
    </row>
    <row r="67" spans="1:35">
      <c r="A67" s="85">
        <f>tblIndicators!A42</f>
        <v>41</v>
      </c>
      <c r="B67" s="85">
        <f>tblIndicators!E42</f>
        <v>0</v>
      </c>
      <c r="C67" s="85">
        <f>tblIndicators!D42</f>
        <v>2</v>
      </c>
      <c r="D67" s="85">
        <f>tblIndicators!N42</f>
        <v>0</v>
      </c>
      <c r="E67" s="166" t="str">
        <f>tblIndicators!Z42</f>
        <v>4.1) Personal Safety (Inputs)</v>
      </c>
      <c r="F67" s="166" t="str">
        <f>tblIndicators!J42</f>
        <v>Weighted sum of underlying indicator scores;</v>
      </c>
      <c r="G67" s="165">
        <f>tblIndicators!AC42</f>
        <v>0.5</v>
      </c>
      <c r="H67" s="165">
        <f t="shared" si="11"/>
        <v>0</v>
      </c>
      <c r="I67" s="85">
        <f t="shared" si="8"/>
        <v>50</v>
      </c>
      <c r="J67" s="165">
        <f t="shared" si="9"/>
        <v>73.1</v>
      </c>
      <c r="K67" s="165"/>
      <c r="L67" s="165"/>
      <c r="M67" s="85">
        <f t="shared" si="12"/>
        <v>-23.1</v>
      </c>
      <c r="N67" s="85">
        <v>1</v>
      </c>
      <c r="P67" s="85" t="b">
        <f t="shared" si="13"/>
        <v>0</v>
      </c>
      <c r="Q67" s="85">
        <f t="shared" si="14"/>
        <v>0</v>
      </c>
      <c r="R67" s="85">
        <f t="shared" si="15"/>
        <v>0</v>
      </c>
      <c r="U67" s="167">
        <f t="shared" si="16"/>
        <v>0</v>
      </c>
      <c r="V67" s="168">
        <f t="shared" si="17"/>
        <v>0</v>
      </c>
      <c r="W67" s="168"/>
      <c r="X67" s="169"/>
      <c r="Y67" s="85">
        <f t="shared" si="18"/>
        <v>25</v>
      </c>
      <c r="Z67" s="85">
        <f t="shared" si="19"/>
        <v>27</v>
      </c>
      <c r="AC67" s="85" t="e">
        <f t="shared" si="20"/>
        <v>#N/A</v>
      </c>
      <c r="AD67" s="85" t="e">
        <f t="shared" si="21"/>
        <v>#N/A</v>
      </c>
      <c r="AH67" s="85" t="str">
        <f t="shared" si="22"/>
        <v/>
      </c>
      <c r="AI67" s="85" t="str">
        <f t="shared" si="23"/>
        <v/>
      </c>
    </row>
    <row r="68" spans="1:35">
      <c r="A68" s="85">
        <f>tblIndicators!A43</f>
        <v>42</v>
      </c>
      <c r="B68" s="85">
        <f>tblIndicators!E43</f>
        <v>0</v>
      </c>
      <c r="C68" s="85">
        <f>tblIndicators!D43</f>
        <v>3</v>
      </c>
      <c r="D68" s="85">
        <f>tblIndicators!N43</f>
        <v>0</v>
      </c>
      <c r="E68" s="166" t="str">
        <f>tblIndicators!Z43</f>
        <v>4.1.1) Level of police engagement</v>
      </c>
      <c r="F68" s="166" t="str">
        <f>tblIndicators!J43</f>
        <v>Scale 0 - 1</v>
      </c>
      <c r="G68" s="165">
        <f>tblIndicators!AC43</f>
        <v>0.142857142857143</v>
      </c>
      <c r="H68" s="165">
        <f t="shared" si="11"/>
        <v>0.5</v>
      </c>
      <c r="I68" s="85">
        <f t="shared" si="8"/>
        <v>50</v>
      </c>
      <c r="J68" s="165">
        <f t="shared" si="9"/>
        <v>100</v>
      </c>
      <c r="K68" s="165"/>
      <c r="L68" s="165"/>
      <c r="M68" s="85">
        <f t="shared" si="12"/>
        <v>-50</v>
      </c>
      <c r="N68" s="85">
        <v>1</v>
      </c>
      <c r="P68" s="85" t="b">
        <f t="shared" si="13"/>
        <v>1</v>
      </c>
      <c r="Q68" s="85">
        <f t="shared" si="14"/>
        <v>0</v>
      </c>
      <c r="R68" s="85">
        <f t="shared" si="15"/>
        <v>1</v>
      </c>
      <c r="U68" s="167">
        <f t="shared" si="16"/>
        <v>0</v>
      </c>
      <c r="V68" s="168">
        <f t="shared" si="17"/>
        <v>42</v>
      </c>
      <c r="W68" s="168"/>
      <c r="X68" s="169"/>
      <c r="Y68" s="85">
        <f t="shared" si="18"/>
        <v>25</v>
      </c>
      <c r="Z68" s="85">
        <f t="shared" si="19"/>
        <v>7</v>
      </c>
      <c r="AC68" s="85" t="e">
        <f t="shared" si="20"/>
        <v>#N/A</v>
      </c>
      <c r="AD68" s="85" t="e">
        <f t="shared" si="21"/>
        <v>#N/A</v>
      </c>
      <c r="AH68" s="85" t="str">
        <f t="shared" si="22"/>
        <v/>
      </c>
      <c r="AI68" s="85" t="str">
        <f t="shared" si="23"/>
        <v/>
      </c>
    </row>
    <row r="69" spans="1:35">
      <c r="A69" s="85">
        <f>tblIndicators!A44</f>
        <v>43</v>
      </c>
      <c r="B69" s="85">
        <f>tblIndicators!E44</f>
        <v>0</v>
      </c>
      <c r="C69" s="85">
        <f>tblIndicators!D44</f>
        <v>3</v>
      </c>
      <c r="D69" s="85">
        <f>tblIndicators!N44</f>
        <v>0</v>
      </c>
      <c r="E69" s="166" t="str">
        <f>tblIndicators!Z44</f>
        <v>4.1.2) Community-based patrolling</v>
      </c>
      <c r="F69" s="166" t="str">
        <f>tblIndicators!J44</f>
        <v>Score 0 - 1</v>
      </c>
      <c r="G69" s="165">
        <f>tblIndicators!AC44</f>
        <v>0.142857142857143</v>
      </c>
      <c r="H69" s="165">
        <f t="shared" si="11"/>
        <v>1</v>
      </c>
      <c r="I69" s="85">
        <f t="shared" si="8"/>
        <v>100</v>
      </c>
      <c r="J69" s="165">
        <f t="shared" si="9"/>
        <v>100</v>
      </c>
      <c r="K69" s="165"/>
      <c r="L69" s="165"/>
      <c r="M69" s="85">
        <f t="shared" si="12"/>
        <v>0</v>
      </c>
      <c r="N69" s="85">
        <v>1</v>
      </c>
      <c r="P69" s="85" t="b">
        <f t="shared" si="13"/>
        <v>1</v>
      </c>
      <c r="Q69" s="85">
        <f t="shared" si="14"/>
        <v>1</v>
      </c>
      <c r="R69" s="85">
        <f t="shared" si="15"/>
        <v>1</v>
      </c>
      <c r="U69" s="167">
        <f t="shared" si="16"/>
        <v>43</v>
      </c>
      <c r="V69" s="168">
        <f t="shared" si="17"/>
        <v>43</v>
      </c>
      <c r="W69" s="168"/>
      <c r="X69" s="169"/>
      <c r="Y69" s="85">
        <f t="shared" si="18"/>
        <v>12</v>
      </c>
      <c r="Z69" s="85">
        <f t="shared" si="19"/>
        <v>6</v>
      </c>
      <c r="AC69" s="85" t="e">
        <f t="shared" si="20"/>
        <v>#N/A</v>
      </c>
      <c r="AD69" s="85" t="e">
        <f t="shared" si="21"/>
        <v>#N/A</v>
      </c>
      <c r="AH69" s="85" t="str">
        <f t="shared" si="22"/>
        <v/>
      </c>
      <c r="AI69" s="85" t="str">
        <f t="shared" si="23"/>
        <v/>
      </c>
    </row>
    <row r="70" spans="1:35">
      <c r="A70" s="85">
        <f>tblIndicators!A45</f>
        <v>44</v>
      </c>
      <c r="B70" s="85">
        <f>tblIndicators!E45</f>
        <v>0</v>
      </c>
      <c r="C70" s="85">
        <f>tblIndicators!D45</f>
        <v>3</v>
      </c>
      <c r="D70" s="85">
        <f>tblIndicators!N45</f>
        <v>0</v>
      </c>
      <c r="E70" s="166" t="str">
        <f>tblIndicators!Z45</f>
        <v>4.1.3) Availability of street-level crime data</v>
      </c>
      <c r="F70" s="166" t="str">
        <f>tblIndicators!J45</f>
        <v>Score 0 - 1</v>
      </c>
      <c r="G70" s="165">
        <f>tblIndicators!AC45</f>
        <v>0.142857142857143</v>
      </c>
      <c r="H70" s="165">
        <f t="shared" si="11"/>
        <v>1</v>
      </c>
      <c r="I70" s="85">
        <f t="shared" si="8"/>
        <v>100</v>
      </c>
      <c r="J70" s="165">
        <f t="shared" si="9"/>
        <v>100</v>
      </c>
      <c r="K70" s="165"/>
      <c r="L70" s="165"/>
      <c r="M70" s="85">
        <f t="shared" si="12"/>
        <v>0</v>
      </c>
      <c r="N70" s="85">
        <v>1</v>
      </c>
      <c r="P70" s="85" t="b">
        <f t="shared" si="13"/>
        <v>1</v>
      </c>
      <c r="Q70" s="85">
        <f t="shared" si="14"/>
        <v>1</v>
      </c>
      <c r="R70" s="85">
        <f t="shared" si="15"/>
        <v>1</v>
      </c>
      <c r="U70" s="167">
        <f t="shared" si="16"/>
        <v>44</v>
      </c>
      <c r="V70" s="168">
        <f t="shared" si="17"/>
        <v>44</v>
      </c>
      <c r="W70" s="168"/>
      <c r="X70" s="169"/>
      <c r="Y70" s="85">
        <f t="shared" si="18"/>
        <v>11</v>
      </c>
      <c r="Z70" s="85">
        <f t="shared" si="19"/>
        <v>5</v>
      </c>
      <c r="AC70" s="85" t="e">
        <f t="shared" si="20"/>
        <v>#N/A</v>
      </c>
      <c r="AD70" s="85" t="e">
        <f t="shared" si="21"/>
        <v>#N/A</v>
      </c>
      <c r="AH70" s="85" t="str">
        <f t="shared" si="22"/>
        <v/>
      </c>
      <c r="AI70" s="85" t="str">
        <f t="shared" si="23"/>
        <v/>
      </c>
    </row>
    <row r="71" spans="1:35">
      <c r="A71" s="85">
        <f>tblIndicators!A46</f>
        <v>45</v>
      </c>
      <c r="B71" s="85">
        <f>tblIndicators!E46</f>
        <v>0</v>
      </c>
      <c r="C71" s="85">
        <f>tblIndicators!D46</f>
        <v>3</v>
      </c>
      <c r="D71" s="85">
        <f>tblIndicators!N46</f>
        <v>0</v>
      </c>
      <c r="E71" s="166" t="str">
        <f>tblIndicators!Z46</f>
        <v>4.1.4) Use of data-driven techniques for crime</v>
      </c>
      <c r="F71" s="166" t="str">
        <f>tblIndicators!J46</f>
        <v>Score 0 - 1</v>
      </c>
      <c r="G71" s="165">
        <f>tblIndicators!AC46</f>
        <v>0.142857142857143</v>
      </c>
      <c r="H71" s="165">
        <f t="shared" si="11"/>
        <v>0</v>
      </c>
      <c r="I71" s="85">
        <f t="shared" si="8"/>
        <v>0</v>
      </c>
      <c r="J71" s="165">
        <f t="shared" si="9"/>
        <v>100</v>
      </c>
      <c r="K71" s="165"/>
      <c r="L71" s="165"/>
      <c r="M71" s="85">
        <f t="shared" si="12"/>
        <v>-100</v>
      </c>
      <c r="N71" s="85">
        <v>1</v>
      </c>
      <c r="P71" s="85" t="b">
        <f t="shared" si="13"/>
        <v>1</v>
      </c>
      <c r="Q71" s="85">
        <f t="shared" si="14"/>
        <v>0</v>
      </c>
      <c r="R71" s="85">
        <f t="shared" si="15"/>
        <v>1</v>
      </c>
      <c r="U71" s="167">
        <f t="shared" si="16"/>
        <v>0</v>
      </c>
      <c r="V71" s="168">
        <f t="shared" si="17"/>
        <v>45</v>
      </c>
      <c r="W71" s="168"/>
      <c r="X71" s="169"/>
      <c r="Y71" s="85">
        <f t="shared" si="18"/>
        <v>25</v>
      </c>
      <c r="Z71" s="85">
        <f t="shared" si="19"/>
        <v>4</v>
      </c>
      <c r="AC71" s="85" t="e">
        <f t="shared" si="20"/>
        <v>#N/A</v>
      </c>
      <c r="AD71" s="85" t="e">
        <f t="shared" si="21"/>
        <v>#N/A</v>
      </c>
      <c r="AH71" s="85" t="str">
        <f t="shared" si="22"/>
        <v/>
      </c>
      <c r="AI71" s="85" t="str">
        <f t="shared" si="23"/>
        <v/>
      </c>
    </row>
    <row r="72" spans="1:35">
      <c r="A72" s="85">
        <f>tblIndicators!A47</f>
        <v>46</v>
      </c>
      <c r="B72" s="85">
        <f>tblIndicators!E47</f>
        <v>0</v>
      </c>
      <c r="C72" s="85">
        <f>tblIndicators!D47</f>
        <v>3</v>
      </c>
      <c r="D72" s="85">
        <f>tblIndicators!N47</f>
        <v>0</v>
      </c>
      <c r="E72" s="166" t="str">
        <f>tblIndicators!Z47</f>
        <v>4.1.5) Private security measures</v>
      </c>
      <c r="F72" s="166" t="str">
        <f>tblIndicators!J47</f>
        <v>Score 0 - 1</v>
      </c>
      <c r="G72" s="165">
        <f>tblIndicators!AC47</f>
        <v>0.142857142857143</v>
      </c>
      <c r="H72" s="165">
        <f t="shared" si="11"/>
        <v>0</v>
      </c>
      <c r="I72" s="85">
        <f t="shared" si="8"/>
        <v>0</v>
      </c>
      <c r="J72" s="165">
        <f t="shared" si="9"/>
        <v>0</v>
      </c>
      <c r="K72" s="165"/>
      <c r="L72" s="165"/>
      <c r="M72" s="85">
        <f t="shared" si="12"/>
        <v>0</v>
      </c>
      <c r="N72" s="85">
        <v>1</v>
      </c>
      <c r="P72" s="85" t="b">
        <f t="shared" si="13"/>
        <v>1</v>
      </c>
      <c r="Q72" s="85">
        <f t="shared" si="14"/>
        <v>1</v>
      </c>
      <c r="R72" s="85">
        <f t="shared" si="15"/>
        <v>1</v>
      </c>
      <c r="U72" s="167">
        <f t="shared" si="16"/>
        <v>46</v>
      </c>
      <c r="V72" s="168">
        <f t="shared" si="17"/>
        <v>46</v>
      </c>
      <c r="W72" s="168"/>
      <c r="X72" s="169"/>
      <c r="Y72" s="85">
        <f t="shared" si="18"/>
        <v>10</v>
      </c>
      <c r="Z72" s="85">
        <f t="shared" si="19"/>
        <v>3</v>
      </c>
      <c r="AC72" s="85" t="e">
        <f t="shared" si="20"/>
        <v>#N/A</v>
      </c>
      <c r="AD72" s="85" t="e">
        <f t="shared" si="21"/>
        <v>#N/A</v>
      </c>
      <c r="AH72" s="85" t="str">
        <f t="shared" si="22"/>
        <v/>
      </c>
      <c r="AI72" s="85" t="str">
        <f t="shared" si="23"/>
        <v/>
      </c>
    </row>
    <row r="73" spans="1:35">
      <c r="A73" s="85">
        <f>tblIndicators!A48</f>
        <v>47</v>
      </c>
      <c r="B73" s="85">
        <f>tblIndicators!E48</f>
        <v>0</v>
      </c>
      <c r="C73" s="85">
        <f>tblIndicators!D48</f>
        <v>3</v>
      </c>
      <c r="D73" s="85">
        <f>tblIndicators!N48</f>
        <v>1</v>
      </c>
      <c r="E73" s="166" t="str">
        <f>tblIndicators!Z48</f>
        <v>4.1.6) Gun regulation and enforcement</v>
      </c>
      <c r="F73" s="166" t="str">
        <f>tblIndicators!J48</f>
        <v>Scale 0 - 10</v>
      </c>
      <c r="G73" s="165">
        <f>tblIndicators!AC48</f>
        <v>0.142857142857143</v>
      </c>
      <c r="H73" s="165" t="str">
        <f t="shared" si="11"/>
        <v/>
      </c>
      <c r="I73" s="85">
        <f t="shared" si="8"/>
        <v>45</v>
      </c>
      <c r="J73" s="165">
        <f t="shared" si="9"/>
        <v>41.67</v>
      </c>
      <c r="K73" s="165"/>
      <c r="L73" s="165"/>
      <c r="M73" s="85">
        <f t="shared" si="12"/>
        <v>-3.33</v>
      </c>
      <c r="N73" s="85">
        <v>1</v>
      </c>
      <c r="P73" s="85" t="b">
        <f t="shared" si="13"/>
        <v>1</v>
      </c>
      <c r="Q73" s="85">
        <f t="shared" si="14"/>
        <v>1</v>
      </c>
      <c r="R73" s="85">
        <f t="shared" si="15"/>
        <v>0</v>
      </c>
      <c r="U73" s="167">
        <f t="shared" si="16"/>
        <v>47</v>
      </c>
      <c r="V73" s="168">
        <f t="shared" si="17"/>
        <v>0</v>
      </c>
      <c r="W73" s="168"/>
      <c r="X73" s="169"/>
      <c r="Y73" s="85">
        <f t="shared" si="18"/>
        <v>9</v>
      </c>
      <c r="Z73" s="85">
        <f t="shared" si="19"/>
        <v>27</v>
      </c>
      <c r="AC73" s="85" t="e">
        <f t="shared" si="20"/>
        <v>#N/A</v>
      </c>
      <c r="AD73" s="85" t="e">
        <f t="shared" si="21"/>
        <v>#N/A</v>
      </c>
      <c r="AH73" s="85" t="str">
        <f t="shared" si="22"/>
        <v/>
      </c>
      <c r="AI73" s="85" t="str">
        <f t="shared" si="23"/>
        <v/>
      </c>
    </row>
    <row r="74" spans="1:35">
      <c r="A74" s="85">
        <f>tblIndicators!A49</f>
        <v>48</v>
      </c>
      <c r="B74" s="85">
        <f>tblIndicators!E49</f>
        <v>0</v>
      </c>
      <c r="C74" s="85">
        <f>tblIndicators!D49</f>
        <v>3</v>
      </c>
      <c r="D74" s="85">
        <f>tblIndicators!N49</f>
        <v>1</v>
      </c>
      <c r="E74" s="166" t="str">
        <f>tblIndicators!Z49</f>
        <v>4.1.7) Political Stability Risk</v>
      </c>
      <c r="F74" s="166" t="str">
        <f>tblIndicators!J49</f>
        <v>Scale 0 - 100</v>
      </c>
      <c r="G74" s="165">
        <f>tblIndicators!AC49</f>
        <v>0.142857142857143</v>
      </c>
      <c r="H74" s="165" t="str">
        <f t="shared" si="11"/>
        <v/>
      </c>
      <c r="I74" s="85">
        <f t="shared" si="8"/>
        <v>55</v>
      </c>
      <c r="J74" s="165">
        <f t="shared" si="9"/>
        <v>70</v>
      </c>
      <c r="K74" s="165"/>
      <c r="L74" s="165"/>
      <c r="M74" s="85">
        <f t="shared" si="12"/>
        <v>-15</v>
      </c>
      <c r="N74" s="85">
        <v>1</v>
      </c>
      <c r="P74" s="85" t="b">
        <f t="shared" si="13"/>
        <v>1</v>
      </c>
      <c r="Q74" s="85">
        <f t="shared" si="14"/>
        <v>0</v>
      </c>
      <c r="R74" s="85">
        <f t="shared" si="15"/>
        <v>1</v>
      </c>
      <c r="U74" s="167">
        <f t="shared" si="16"/>
        <v>0</v>
      </c>
      <c r="V74" s="168">
        <f t="shared" si="17"/>
        <v>48</v>
      </c>
      <c r="W74" s="168"/>
      <c r="X74" s="169"/>
      <c r="Y74" s="85">
        <f t="shared" si="18"/>
        <v>25</v>
      </c>
      <c r="Z74" s="85">
        <f t="shared" si="19"/>
        <v>2</v>
      </c>
      <c r="AC74" s="85" t="e">
        <f t="shared" si="20"/>
        <v>#N/A</v>
      </c>
      <c r="AD74" s="85" t="e">
        <f t="shared" si="21"/>
        <v>#N/A</v>
      </c>
      <c r="AH74" s="85" t="str">
        <f t="shared" si="22"/>
        <v/>
      </c>
      <c r="AI74" s="85" t="str">
        <f t="shared" si="23"/>
        <v/>
      </c>
    </row>
    <row r="75" spans="1:35">
      <c r="A75" s="85">
        <f>tblIndicators!A50</f>
        <v>49</v>
      </c>
      <c r="B75" s="85">
        <f>tblIndicators!E50</f>
        <v>0</v>
      </c>
      <c r="C75" s="85">
        <f>tblIndicators!D50</f>
        <v>2</v>
      </c>
      <c r="D75" s="85">
        <f>tblIndicators!N50</f>
        <v>0</v>
      </c>
      <c r="E75" s="166" t="str">
        <f>tblIndicators!Z50</f>
        <v>4.2) Personal Safety (Outputs)</v>
      </c>
      <c r="F75" s="166" t="str">
        <f>tblIndicators!J50</f>
        <v>Weighted sum of underlying indicator scores;</v>
      </c>
      <c r="G75" s="165">
        <f>tblIndicators!AC50</f>
        <v>0.5</v>
      </c>
      <c r="H75" s="165">
        <f t="shared" si="11"/>
        <v>0</v>
      </c>
      <c r="I75" s="85">
        <f t="shared" si="8"/>
        <v>84.77</v>
      </c>
      <c r="J75" s="165">
        <f t="shared" si="9"/>
        <v>69.48</v>
      </c>
      <c r="K75" s="165"/>
      <c r="L75" s="165"/>
      <c r="M75" s="85">
        <f t="shared" si="12"/>
        <v>-15.29</v>
      </c>
      <c r="N75" s="85">
        <v>1</v>
      </c>
      <c r="P75" s="85" t="b">
        <f t="shared" si="13"/>
        <v>0</v>
      </c>
      <c r="Q75" s="85">
        <f t="shared" si="14"/>
        <v>0</v>
      </c>
      <c r="R75" s="85">
        <f t="shared" si="15"/>
        <v>0</v>
      </c>
      <c r="U75" s="167">
        <f t="shared" si="16"/>
        <v>0</v>
      </c>
      <c r="V75" s="168">
        <f t="shared" si="17"/>
        <v>0</v>
      </c>
      <c r="W75" s="168"/>
      <c r="X75" s="169"/>
      <c r="Y75" s="85">
        <f t="shared" si="18"/>
        <v>25</v>
      </c>
      <c r="Z75" s="85">
        <f t="shared" si="19"/>
        <v>27</v>
      </c>
      <c r="AC75" s="85" t="e">
        <f t="shared" si="20"/>
        <v>#N/A</v>
      </c>
      <c r="AD75" s="85" t="e">
        <f t="shared" si="21"/>
        <v>#N/A</v>
      </c>
      <c r="AH75" s="85" t="str">
        <f t="shared" si="22"/>
        <v/>
      </c>
      <c r="AI75" s="85" t="str">
        <f t="shared" si="23"/>
        <v/>
      </c>
    </row>
    <row r="76" spans="1:35">
      <c r="A76" s="85">
        <f>tblIndicators!A51</f>
        <v>50</v>
      </c>
      <c r="B76" s="85">
        <f>tblIndicators!E51</f>
        <v>0</v>
      </c>
      <c r="C76" s="85">
        <f>tblIndicators!D51</f>
        <v>3</v>
      </c>
      <c r="D76" s="85">
        <f>tblIndicators!N51</f>
        <v>1</v>
      </c>
      <c r="E76" s="166" t="str">
        <f>tblIndicators!Z51</f>
        <v>4.2.1) Prevalence of petty crime</v>
      </c>
      <c r="F76" s="166" t="str">
        <f>tblIndicators!J51</f>
        <v>EIU Rating</v>
      </c>
      <c r="G76" s="165">
        <f>tblIndicators!AC51</f>
        <v>0.125</v>
      </c>
      <c r="H76" s="165" t="str">
        <f t="shared" si="11"/>
        <v/>
      </c>
      <c r="I76" s="85">
        <f t="shared" si="8"/>
        <v>75</v>
      </c>
      <c r="J76" s="165">
        <f t="shared" si="9"/>
        <v>75</v>
      </c>
      <c r="K76" s="165"/>
      <c r="L76" s="165"/>
      <c r="M76" s="85">
        <f t="shared" si="12"/>
        <v>0</v>
      </c>
      <c r="N76" s="85">
        <v>1</v>
      </c>
      <c r="P76" s="85" t="b">
        <f t="shared" si="13"/>
        <v>1</v>
      </c>
      <c r="Q76" s="85">
        <f t="shared" si="14"/>
        <v>1</v>
      </c>
      <c r="R76" s="85">
        <f t="shared" si="15"/>
        <v>1</v>
      </c>
      <c r="U76" s="167">
        <f t="shared" si="16"/>
        <v>50</v>
      </c>
      <c r="V76" s="168">
        <f t="shared" si="17"/>
        <v>50</v>
      </c>
      <c r="W76" s="168"/>
      <c r="X76" s="169"/>
      <c r="Y76" s="85">
        <f t="shared" si="18"/>
        <v>8</v>
      </c>
      <c r="Z76" s="85">
        <f t="shared" si="19"/>
        <v>1</v>
      </c>
      <c r="AC76" s="85" t="e">
        <f t="shared" si="20"/>
        <v>#N/A</v>
      </c>
      <c r="AD76" s="85" t="e">
        <f t="shared" si="21"/>
        <v>#N/A</v>
      </c>
      <c r="AH76" s="85" t="str">
        <f t="shared" si="22"/>
        <v/>
      </c>
      <c r="AI76" s="85" t="str">
        <f t="shared" si="23"/>
        <v/>
      </c>
    </row>
    <row r="77" spans="1:35">
      <c r="A77" s="85">
        <f>tblIndicators!A52</f>
        <v>51</v>
      </c>
      <c r="B77" s="85">
        <f>tblIndicators!E52</f>
        <v>0</v>
      </c>
      <c r="C77" s="85">
        <f>tblIndicators!D52</f>
        <v>3</v>
      </c>
      <c r="D77" s="85">
        <f>tblIndicators!N52</f>
        <v>1</v>
      </c>
      <c r="E77" s="166" t="str">
        <f>tblIndicators!Z52</f>
        <v>4.2.2) Prevalence of violence crime</v>
      </c>
      <c r="F77" s="166" t="str">
        <f>tblIndicators!J52</f>
        <v>EIU Rating</v>
      </c>
      <c r="G77" s="165">
        <f>tblIndicators!AC52</f>
        <v>0.125</v>
      </c>
      <c r="H77" s="165" t="str">
        <f t="shared" si="11"/>
        <v/>
      </c>
      <c r="I77" s="85">
        <f t="shared" si="8"/>
        <v>100</v>
      </c>
      <c r="J77" s="165">
        <f t="shared" si="9"/>
        <v>75</v>
      </c>
      <c r="K77" s="165"/>
      <c r="L77" s="165"/>
      <c r="M77" s="85">
        <f t="shared" si="12"/>
        <v>-25</v>
      </c>
      <c r="N77" s="85">
        <v>1</v>
      </c>
      <c r="P77" s="85" t="b">
        <f t="shared" si="13"/>
        <v>1</v>
      </c>
      <c r="Q77" s="85">
        <f t="shared" si="14"/>
        <v>1</v>
      </c>
      <c r="R77" s="85">
        <f t="shared" si="15"/>
        <v>0</v>
      </c>
      <c r="U77" s="167">
        <f t="shared" si="16"/>
        <v>51</v>
      </c>
      <c r="V77" s="168">
        <f t="shared" si="17"/>
        <v>0</v>
      </c>
      <c r="W77" s="168"/>
      <c r="X77" s="169"/>
      <c r="Y77" s="85">
        <f t="shared" si="18"/>
        <v>7</v>
      </c>
      <c r="Z77" s="85">
        <f t="shared" si="19"/>
        <v>27</v>
      </c>
      <c r="AC77" s="85" t="e">
        <f t="shared" si="20"/>
        <v>#N/A</v>
      </c>
      <c r="AD77" s="85" t="e">
        <f t="shared" si="21"/>
        <v>#N/A</v>
      </c>
      <c r="AH77" s="85" t="str">
        <f t="shared" si="22"/>
        <v/>
      </c>
      <c r="AI77" s="85" t="str">
        <f t="shared" si="23"/>
        <v/>
      </c>
    </row>
    <row r="78" spans="1:35">
      <c r="A78" s="85">
        <f>tblIndicators!A53</f>
        <v>52</v>
      </c>
      <c r="B78" s="85">
        <f>tblIndicators!E53</f>
        <v>0</v>
      </c>
      <c r="C78" s="85">
        <f>tblIndicators!D53</f>
        <v>3</v>
      </c>
      <c r="D78" s="85">
        <f>tblIndicators!N53</f>
        <v>1</v>
      </c>
      <c r="E78" s="166" t="str">
        <f>tblIndicators!Z53</f>
        <v>4.2.3) Criminal gang activity</v>
      </c>
      <c r="F78" s="166" t="str">
        <f>tblIndicators!J53</f>
        <v>US $ billions</v>
      </c>
      <c r="G78" s="165">
        <f>tblIndicators!AC53</f>
        <v>0.125</v>
      </c>
      <c r="H78" s="165" t="str">
        <f t="shared" si="11"/>
        <v/>
      </c>
      <c r="I78" s="85">
        <f t="shared" si="8"/>
        <v>99.86</v>
      </c>
      <c r="J78" s="165">
        <f t="shared" si="9"/>
        <v>98.46</v>
      </c>
      <c r="K78" s="165"/>
      <c r="L78" s="165"/>
      <c r="M78" s="85">
        <f t="shared" si="12"/>
        <v>-1.40000000000001</v>
      </c>
      <c r="N78" s="85">
        <v>1</v>
      </c>
      <c r="P78" s="85" t="b">
        <f t="shared" si="13"/>
        <v>1</v>
      </c>
      <c r="Q78" s="85">
        <f t="shared" si="14"/>
        <v>1</v>
      </c>
      <c r="R78" s="85">
        <f t="shared" si="15"/>
        <v>0</v>
      </c>
      <c r="U78" s="167">
        <f t="shared" si="16"/>
        <v>52</v>
      </c>
      <c r="V78" s="168">
        <f t="shared" si="17"/>
        <v>0</v>
      </c>
      <c r="W78" s="168"/>
      <c r="X78" s="169"/>
      <c r="Y78" s="85">
        <f t="shared" si="18"/>
        <v>6</v>
      </c>
      <c r="Z78" s="85">
        <f t="shared" si="19"/>
        <v>27</v>
      </c>
      <c r="AC78" s="85" t="e">
        <f t="shared" si="20"/>
        <v>#N/A</v>
      </c>
      <c r="AD78" s="85" t="e">
        <f t="shared" si="21"/>
        <v>#N/A</v>
      </c>
      <c r="AH78" s="85" t="str">
        <f t="shared" si="22"/>
        <v/>
      </c>
      <c r="AI78" s="85" t="str">
        <f t="shared" si="23"/>
        <v/>
      </c>
    </row>
    <row r="79" spans="1:35">
      <c r="A79" s="85">
        <f>tblIndicators!A54</f>
        <v>53</v>
      </c>
      <c r="B79" s="85">
        <f>tblIndicators!E54</f>
        <v>0</v>
      </c>
      <c r="C79" s="85">
        <f>tblIndicators!D54</f>
        <v>3</v>
      </c>
      <c r="D79" s="85">
        <f>tblIndicators!N54</f>
        <v>1</v>
      </c>
      <c r="E79" s="166" t="str">
        <f>tblIndicators!Z54</f>
        <v>4.2.4) Level of corruption in police force</v>
      </c>
      <c r="F79" s="166" t="str">
        <f>tblIndicators!J54</f>
        <v>Scale 0 - 100</v>
      </c>
      <c r="G79" s="165">
        <f>tblIndicators!AC54</f>
        <v>0.125</v>
      </c>
      <c r="H79" s="165" t="str">
        <f t="shared" si="11"/>
        <v/>
      </c>
      <c r="I79" s="85">
        <f t="shared" si="8"/>
        <v>37</v>
      </c>
      <c r="J79" s="165">
        <f t="shared" si="9"/>
        <v>32</v>
      </c>
      <c r="K79" s="165"/>
      <c r="L79" s="165"/>
      <c r="M79" s="85">
        <f t="shared" si="12"/>
        <v>-5</v>
      </c>
      <c r="N79" s="85">
        <v>1</v>
      </c>
      <c r="P79" s="85" t="b">
        <f t="shared" si="13"/>
        <v>1</v>
      </c>
      <c r="Q79" s="85">
        <f t="shared" si="14"/>
        <v>1</v>
      </c>
      <c r="R79" s="85">
        <f t="shared" si="15"/>
        <v>0</v>
      </c>
      <c r="U79" s="167">
        <f t="shared" si="16"/>
        <v>53</v>
      </c>
      <c r="V79" s="168">
        <f t="shared" si="17"/>
        <v>0</v>
      </c>
      <c r="W79" s="168"/>
      <c r="X79" s="169"/>
      <c r="Y79" s="85">
        <f t="shared" si="18"/>
        <v>5</v>
      </c>
      <c r="Z79" s="85">
        <f t="shared" si="19"/>
        <v>27</v>
      </c>
      <c r="AC79" s="85" t="e">
        <f t="shared" si="20"/>
        <v>#N/A</v>
      </c>
      <c r="AD79" s="85" t="e">
        <f t="shared" si="21"/>
        <v>#N/A</v>
      </c>
      <c r="AH79" s="85" t="str">
        <f t="shared" si="22"/>
        <v/>
      </c>
      <c r="AI79" s="85" t="str">
        <f t="shared" si="23"/>
        <v/>
      </c>
    </row>
    <row r="80" spans="1:35">
      <c r="A80" s="85">
        <f>tblIndicators!A55</f>
        <v>54</v>
      </c>
      <c r="B80" s="85">
        <f>tblIndicators!E55</f>
        <v>0</v>
      </c>
      <c r="C80" s="85">
        <f>tblIndicators!D55</f>
        <v>3</v>
      </c>
      <c r="D80" s="85">
        <f>tblIndicators!N55</f>
        <v>1</v>
      </c>
      <c r="E80" s="166" t="str">
        <f>tblIndicators!Z55</f>
        <v>4.2.5) Rate of drug use</v>
      </c>
      <c r="F80" s="166" t="str">
        <f>tblIndicators!J55</f>
        <v>%</v>
      </c>
      <c r="G80" s="165">
        <f>tblIndicators!AC55</f>
        <v>0.125</v>
      </c>
      <c r="H80" s="165" t="str">
        <f t="shared" si="11"/>
        <v/>
      </c>
      <c r="I80" s="85">
        <f t="shared" si="8"/>
        <v>99.61</v>
      </c>
      <c r="J80" s="165">
        <f t="shared" si="9"/>
        <v>77.22</v>
      </c>
      <c r="K80" s="165"/>
      <c r="L80" s="165"/>
      <c r="M80" s="85">
        <f t="shared" si="12"/>
        <v>-22.39</v>
      </c>
      <c r="N80" s="85">
        <v>1</v>
      </c>
      <c r="P80" s="85" t="b">
        <f t="shared" si="13"/>
        <v>1</v>
      </c>
      <c r="Q80" s="85">
        <f t="shared" si="14"/>
        <v>1</v>
      </c>
      <c r="R80" s="85">
        <f t="shared" si="15"/>
        <v>0</v>
      </c>
      <c r="U80" s="167">
        <f t="shared" si="16"/>
        <v>54</v>
      </c>
      <c r="V80" s="168">
        <f t="shared" si="17"/>
        <v>0</v>
      </c>
      <c r="W80" s="168"/>
      <c r="X80" s="169"/>
      <c r="Y80" s="85">
        <f t="shared" si="18"/>
        <v>4</v>
      </c>
      <c r="Z80" s="85">
        <f t="shared" si="19"/>
        <v>27</v>
      </c>
      <c r="AC80" s="85" t="e">
        <f t="shared" si="20"/>
        <v>#N/A</v>
      </c>
      <c r="AD80" s="85" t="e">
        <f t="shared" si="21"/>
        <v>#N/A</v>
      </c>
      <c r="AH80" s="85" t="str">
        <f t="shared" si="22"/>
        <v/>
      </c>
      <c r="AI80" s="85" t="str">
        <f t="shared" si="23"/>
        <v/>
      </c>
    </row>
    <row r="81" spans="1:35">
      <c r="A81" s="85">
        <f>tblIndicators!A56</f>
        <v>55</v>
      </c>
      <c r="B81" s="85">
        <f>tblIndicators!E56</f>
        <v>0</v>
      </c>
      <c r="C81" s="85">
        <f>tblIndicators!D56</f>
        <v>3</v>
      </c>
      <c r="D81" s="85">
        <f>tblIndicators!N56</f>
        <v>1</v>
      </c>
      <c r="E81" s="166" t="str">
        <f>tblIndicators!Z56</f>
        <v>4.2.6) Frequency of terrorist attacks</v>
      </c>
      <c r="F81" s="166" t="str">
        <f>tblIndicators!J56</f>
        <v>#/year</v>
      </c>
      <c r="G81" s="165">
        <f>tblIndicators!AC56</f>
        <v>0.125</v>
      </c>
      <c r="H81" s="165" t="str">
        <f t="shared" si="11"/>
        <v/>
      </c>
      <c r="I81" s="85">
        <f t="shared" si="8"/>
        <v>100</v>
      </c>
      <c r="J81" s="165">
        <f t="shared" si="9"/>
        <v>88.37</v>
      </c>
      <c r="K81" s="165"/>
      <c r="L81" s="165"/>
      <c r="M81" s="85">
        <f t="shared" si="12"/>
        <v>-11.63</v>
      </c>
      <c r="N81" s="85">
        <v>1</v>
      </c>
      <c r="P81" s="85" t="b">
        <f t="shared" si="13"/>
        <v>1</v>
      </c>
      <c r="Q81" s="85">
        <f t="shared" si="14"/>
        <v>1</v>
      </c>
      <c r="R81" s="85">
        <f t="shared" si="15"/>
        <v>0</v>
      </c>
      <c r="U81" s="167">
        <f t="shared" si="16"/>
        <v>55</v>
      </c>
      <c r="V81" s="168">
        <f t="shared" si="17"/>
        <v>0</v>
      </c>
      <c r="W81" s="168"/>
      <c r="X81" s="169"/>
      <c r="Y81" s="85">
        <f t="shared" si="18"/>
        <v>3</v>
      </c>
      <c r="Z81" s="85">
        <f t="shared" si="19"/>
        <v>27</v>
      </c>
      <c r="AC81" s="85" t="e">
        <f t="shared" si="20"/>
        <v>#N/A</v>
      </c>
      <c r="AD81" s="85" t="e">
        <f t="shared" si="21"/>
        <v>#N/A</v>
      </c>
      <c r="AH81" s="85" t="str">
        <f t="shared" si="22"/>
        <v/>
      </c>
      <c r="AI81" s="85" t="str">
        <f t="shared" si="23"/>
        <v/>
      </c>
    </row>
    <row r="82" spans="1:35">
      <c r="A82" s="85">
        <f>tblIndicators!A57</f>
        <v>56</v>
      </c>
      <c r="B82" s="85">
        <f>tblIndicators!E57</f>
        <v>0</v>
      </c>
      <c r="C82" s="85">
        <f>tblIndicators!D57</f>
        <v>3</v>
      </c>
      <c r="D82" s="85">
        <f>tblIndicators!N57</f>
        <v>1</v>
      </c>
      <c r="E82" s="166" t="str">
        <f>tblIndicators!Z57</f>
        <v>4.2.7) Gender safety</v>
      </c>
      <c r="F82" s="166" t="str">
        <f>tblIndicators!J57</f>
        <v>Index</v>
      </c>
      <c r="G82" s="165">
        <f>tblIndicators!AC57</f>
        <v>0.125</v>
      </c>
      <c r="H82" s="165" t="str">
        <f t="shared" si="11"/>
        <v/>
      </c>
      <c r="I82" s="85">
        <f t="shared" si="8"/>
        <v>80.68</v>
      </c>
      <c r="J82" s="165">
        <f t="shared" si="9"/>
        <v>65.88</v>
      </c>
      <c r="K82" s="165"/>
      <c r="L82" s="165"/>
      <c r="M82" s="85">
        <f t="shared" si="12"/>
        <v>-14.8</v>
      </c>
      <c r="N82" s="85">
        <v>1</v>
      </c>
      <c r="P82" s="85" t="b">
        <f t="shared" si="13"/>
        <v>1</v>
      </c>
      <c r="Q82" s="85">
        <f t="shared" si="14"/>
        <v>1</v>
      </c>
      <c r="R82" s="85">
        <f t="shared" si="15"/>
        <v>0</v>
      </c>
      <c r="U82" s="167">
        <f t="shared" si="16"/>
        <v>56</v>
      </c>
      <c r="V82" s="168">
        <f t="shared" si="17"/>
        <v>0</v>
      </c>
      <c r="W82" s="168"/>
      <c r="X82" s="169"/>
      <c r="Y82" s="85">
        <f t="shared" si="18"/>
        <v>2</v>
      </c>
      <c r="Z82" s="85">
        <f t="shared" si="19"/>
        <v>27</v>
      </c>
      <c r="AC82" s="85" t="e">
        <f t="shared" si="20"/>
        <v>#N/A</v>
      </c>
      <c r="AD82" s="85" t="e">
        <f t="shared" si="21"/>
        <v>#N/A</v>
      </c>
      <c r="AH82" s="85" t="str">
        <f t="shared" si="22"/>
        <v/>
      </c>
      <c r="AI82" s="85" t="str">
        <f t="shared" si="23"/>
        <v/>
      </c>
    </row>
    <row r="83" spans="1:35">
      <c r="A83" s="85">
        <f>tblIndicators!A58</f>
        <v>57</v>
      </c>
      <c r="B83" s="85">
        <f>tblIndicators!E58</f>
        <v>0</v>
      </c>
      <c r="C83" s="85">
        <f>tblIndicators!D58</f>
        <v>3</v>
      </c>
      <c r="D83" s="85">
        <f>tblIndicators!N58</f>
        <v>0</v>
      </c>
      <c r="E83" s="166" t="str">
        <f>tblIndicators!Z58</f>
        <v>4.2.8) Perceptions of safety</v>
      </c>
      <c r="F83" s="166" t="str">
        <f>tblIndicators!J58</f>
        <v>Scale 0 - 100</v>
      </c>
      <c r="G83" s="165">
        <f>tblIndicators!AC58</f>
        <v>0.125</v>
      </c>
      <c r="H83" s="165">
        <f t="shared" si="11"/>
        <v>86.02</v>
      </c>
      <c r="I83" s="85">
        <f t="shared" si="8"/>
        <v>86.02</v>
      </c>
      <c r="J83" s="165">
        <f t="shared" si="9"/>
        <v>43.88</v>
      </c>
      <c r="K83" s="165"/>
      <c r="L83" s="165"/>
      <c r="M83" s="85">
        <f t="shared" si="12"/>
        <v>-42.14</v>
      </c>
      <c r="N83" s="85">
        <v>1</v>
      </c>
      <c r="P83" s="85" t="b">
        <f t="shared" si="13"/>
        <v>1</v>
      </c>
      <c r="Q83" s="85">
        <f t="shared" si="14"/>
        <v>1</v>
      </c>
      <c r="R83" s="85">
        <f t="shared" si="15"/>
        <v>0</v>
      </c>
      <c r="U83" s="167">
        <f t="shared" si="16"/>
        <v>57</v>
      </c>
      <c r="V83" s="168">
        <f t="shared" si="17"/>
        <v>0</v>
      </c>
      <c r="W83" s="168"/>
      <c r="X83" s="169"/>
      <c r="Y83" s="85">
        <f t="shared" si="18"/>
        <v>1</v>
      </c>
      <c r="Z83" s="85">
        <f t="shared" si="19"/>
        <v>27</v>
      </c>
      <c r="AC83" s="85" t="e">
        <f t="shared" si="20"/>
        <v>#N/A</v>
      </c>
      <c r="AD83" s="85" t="e">
        <f t="shared" si="21"/>
        <v>#N/A</v>
      </c>
      <c r="AH83" s="85" t="str">
        <f t="shared" si="22"/>
        <v/>
      </c>
      <c r="AI83" s="85" t="str">
        <f t="shared" si="23"/>
        <v/>
      </c>
    </row>
    <row r="84" spans="5:24">
      <c r="E84" s="166"/>
      <c r="F84" s="166"/>
      <c r="G84" s="165"/>
      <c r="H84" s="165"/>
      <c r="J84" s="165"/>
      <c r="K84" s="165"/>
      <c r="L84" s="165"/>
      <c r="U84" s="167"/>
      <c r="V84" s="168"/>
      <c r="W84" s="168"/>
      <c r="X84" s="169"/>
    </row>
    <row r="85" spans="5:24">
      <c r="E85" s="166"/>
      <c r="F85" s="166"/>
      <c r="G85" s="165"/>
      <c r="H85" s="165"/>
      <c r="J85" s="165"/>
      <c r="K85" s="165"/>
      <c r="L85" s="165"/>
      <c r="U85" s="167"/>
      <c r="V85" s="168"/>
      <c r="W85" s="168"/>
      <c r="X85" s="169"/>
    </row>
    <row r="86" spans="5:24">
      <c r="E86" s="166"/>
      <c r="F86" s="166"/>
      <c r="G86" s="165"/>
      <c r="H86" s="165"/>
      <c r="J86" s="165"/>
      <c r="K86" s="165"/>
      <c r="L86" s="165"/>
      <c r="U86" s="167"/>
      <c r="V86" s="168"/>
      <c r="W86" s="168"/>
      <c r="X86" s="169"/>
    </row>
    <row r="87" spans="5:24">
      <c r="E87" s="166"/>
      <c r="F87" s="166"/>
      <c r="G87" s="165"/>
      <c r="H87" s="165"/>
      <c r="J87" s="165"/>
      <c r="K87" s="165"/>
      <c r="L87" s="165"/>
      <c r="U87" s="167"/>
      <c r="V87" s="168"/>
      <c r="W87" s="168"/>
      <c r="X87" s="169"/>
    </row>
    <row r="88" spans="5:24">
      <c r="E88" s="166"/>
      <c r="F88" s="166"/>
      <c r="G88" s="165"/>
      <c r="H88" s="165"/>
      <c r="J88" s="165"/>
      <c r="K88" s="165"/>
      <c r="L88" s="165"/>
      <c r="U88" s="167"/>
      <c r="V88" s="168"/>
      <c r="W88" s="168"/>
      <c r="X88" s="169"/>
    </row>
    <row r="89" spans="5:24">
      <c r="E89" s="166"/>
      <c r="F89" s="166"/>
      <c r="G89" s="165"/>
      <c r="H89" s="165"/>
      <c r="J89" s="165"/>
      <c r="K89" s="165"/>
      <c r="L89" s="165"/>
      <c r="U89" s="167"/>
      <c r="V89" s="168"/>
      <c r="W89" s="168"/>
      <c r="X89" s="169"/>
    </row>
    <row r="90" spans="5:24">
      <c r="E90" s="166"/>
      <c r="F90" s="166"/>
      <c r="G90" s="165"/>
      <c r="H90" s="165"/>
      <c r="J90" s="165"/>
      <c r="K90" s="165"/>
      <c r="L90" s="165"/>
      <c r="U90" s="167"/>
      <c r="V90" s="168"/>
      <c r="W90" s="168"/>
      <c r="X90" s="169"/>
    </row>
    <row r="91" spans="5:24">
      <c r="E91" s="166"/>
      <c r="F91" s="166"/>
      <c r="G91" s="165"/>
      <c r="H91" s="165"/>
      <c r="J91" s="165"/>
      <c r="K91" s="165"/>
      <c r="L91" s="165"/>
      <c r="U91" s="167"/>
      <c r="V91" s="168"/>
      <c r="W91" s="168"/>
      <c r="X91" s="169"/>
    </row>
    <row r="92" spans="5:24">
      <c r="E92" s="166"/>
      <c r="F92" s="166"/>
      <c r="G92" s="165"/>
      <c r="H92" s="165"/>
      <c r="J92" s="165"/>
      <c r="K92" s="165"/>
      <c r="L92" s="165"/>
      <c r="U92" s="167"/>
      <c r="V92" s="168"/>
      <c r="W92" s="168"/>
      <c r="X92" s="169"/>
    </row>
    <row r="93" spans="5:24">
      <c r="E93" s="166"/>
      <c r="F93" s="166"/>
      <c r="G93" s="165"/>
      <c r="H93" s="165"/>
      <c r="J93" s="165"/>
      <c r="K93" s="165"/>
      <c r="L93" s="165"/>
      <c r="U93" s="167"/>
      <c r="V93" s="168"/>
      <c r="W93" s="168"/>
      <c r="X93" s="169"/>
    </row>
    <row r="94" spans="5:24">
      <c r="E94" s="166"/>
      <c r="F94" s="166"/>
      <c r="G94" s="165"/>
      <c r="H94" s="165"/>
      <c r="J94" s="165"/>
      <c r="K94" s="165"/>
      <c r="L94" s="165"/>
      <c r="U94" s="167"/>
      <c r="V94" s="168"/>
      <c r="W94" s="168"/>
      <c r="X94" s="169"/>
    </row>
    <row r="95" spans="5:24">
      <c r="E95" s="166"/>
      <c r="F95" s="166"/>
      <c r="G95" s="165"/>
      <c r="H95" s="165"/>
      <c r="J95" s="165"/>
      <c r="K95" s="165"/>
      <c r="L95" s="165"/>
      <c r="U95" s="167"/>
      <c r="V95" s="168"/>
      <c r="W95" s="168"/>
      <c r="X95" s="169"/>
    </row>
    <row r="96" spans="5:24">
      <c r="E96" s="166"/>
      <c r="F96" s="166"/>
      <c r="G96" s="165"/>
      <c r="H96" s="165"/>
      <c r="J96" s="165"/>
      <c r="K96" s="165"/>
      <c r="L96" s="165"/>
      <c r="U96" s="167"/>
      <c r="V96" s="168"/>
      <c r="W96" s="168"/>
      <c r="X96" s="169"/>
    </row>
    <row r="97" spans="5:24">
      <c r="E97" s="166"/>
      <c r="F97" s="166"/>
      <c r="G97" s="165"/>
      <c r="H97" s="165"/>
      <c r="J97" s="165"/>
      <c r="K97" s="165"/>
      <c r="L97" s="165"/>
      <c r="U97" s="170"/>
      <c r="V97" s="162"/>
      <c r="W97" s="162"/>
      <c r="X97" s="171"/>
    </row>
    <row r="98" spans="5:24">
      <c r="E98" s="166"/>
      <c r="F98" s="166"/>
      <c r="G98" s="165"/>
      <c r="H98" s="165"/>
      <c r="J98" s="165"/>
      <c r="K98" s="165"/>
      <c r="L98" s="165"/>
      <c r="U98" s="170"/>
      <c r="V98" s="162"/>
      <c r="W98" s="162"/>
      <c r="X98" s="171"/>
    </row>
    <row r="99" spans="5:24">
      <c r="E99" s="166"/>
      <c r="F99" s="166"/>
      <c r="G99" s="165"/>
      <c r="H99" s="165"/>
      <c r="J99" s="165"/>
      <c r="K99" s="165"/>
      <c r="L99" s="165"/>
      <c r="U99" s="170"/>
      <c r="V99" s="162"/>
      <c r="W99" s="162"/>
      <c r="X99" s="171"/>
    </row>
    <row r="100" spans="5:24">
      <c r="E100" s="166"/>
      <c r="F100" s="166"/>
      <c r="G100" s="165"/>
      <c r="H100" s="165"/>
      <c r="J100" s="165"/>
      <c r="K100" s="165"/>
      <c r="L100" s="165"/>
      <c r="U100" s="170"/>
      <c r="V100" s="162"/>
      <c r="W100" s="162"/>
      <c r="X100" s="171"/>
    </row>
    <row r="101" spans="5:24">
      <c r="E101" s="166"/>
      <c r="F101" s="166"/>
      <c r="G101" s="165"/>
      <c r="H101" s="165"/>
      <c r="J101" s="165"/>
      <c r="K101" s="165"/>
      <c r="L101" s="165"/>
      <c r="U101" s="170"/>
      <c r="V101" s="162"/>
      <c r="W101" s="162"/>
      <c r="X101" s="171"/>
    </row>
    <row r="102" spans="5:24">
      <c r="E102" s="166"/>
      <c r="F102" s="166"/>
      <c r="G102" s="165"/>
      <c r="H102" s="165"/>
      <c r="J102" s="165"/>
      <c r="K102" s="165"/>
      <c r="L102" s="165"/>
      <c r="U102" s="170"/>
      <c r="V102" s="162"/>
      <c r="W102" s="162"/>
      <c r="X102" s="171"/>
    </row>
    <row r="103" spans="5:24">
      <c r="E103" s="166"/>
      <c r="F103" s="166"/>
      <c r="G103" s="165"/>
      <c r="H103" s="165"/>
      <c r="J103" s="165"/>
      <c r="K103" s="165"/>
      <c r="L103" s="165"/>
      <c r="U103" s="170"/>
      <c r="V103" s="162"/>
      <c r="W103" s="162"/>
      <c r="X103" s="171"/>
    </row>
    <row r="104" spans="5:24">
      <c r="E104" s="166"/>
      <c r="F104" s="166"/>
      <c r="G104" s="165"/>
      <c r="H104" s="165"/>
      <c r="J104" s="165"/>
      <c r="K104" s="165"/>
      <c r="L104" s="165"/>
      <c r="U104" s="170"/>
      <c r="V104" s="162"/>
      <c r="W104" s="162"/>
      <c r="X104" s="171"/>
    </row>
    <row r="105" spans="5:24">
      <c r="E105" s="166"/>
      <c r="F105" s="166"/>
      <c r="G105" s="165"/>
      <c r="H105" s="165"/>
      <c r="J105" s="165"/>
      <c r="K105" s="165"/>
      <c r="L105" s="165"/>
      <c r="U105" s="170"/>
      <c r="V105" s="162"/>
      <c r="W105" s="162"/>
      <c r="X105" s="171"/>
    </row>
    <row r="106" spans="5:24">
      <c r="E106" s="166"/>
      <c r="F106" s="166"/>
      <c r="G106" s="165"/>
      <c r="H106" s="165"/>
      <c r="J106" s="165"/>
      <c r="K106" s="165"/>
      <c r="L106" s="165"/>
      <c r="U106" s="170"/>
      <c r="V106" s="162"/>
      <c r="W106" s="162"/>
      <c r="X106" s="171"/>
    </row>
    <row r="107" spans="5:24">
      <c r="E107" s="166"/>
      <c r="F107" s="166"/>
      <c r="G107" s="165"/>
      <c r="H107" s="165"/>
      <c r="J107" s="165"/>
      <c r="K107" s="165"/>
      <c r="L107" s="165"/>
      <c r="U107" s="170"/>
      <c r="V107" s="162"/>
      <c r="W107" s="162"/>
      <c r="X107" s="171"/>
    </row>
    <row r="108" spans="5:24">
      <c r="E108" s="166"/>
      <c r="F108" s="166"/>
      <c r="G108" s="165"/>
      <c r="H108" s="165"/>
      <c r="J108" s="165"/>
      <c r="K108" s="165"/>
      <c r="L108" s="165"/>
      <c r="U108" s="170"/>
      <c r="V108" s="162"/>
      <c r="W108" s="162"/>
      <c r="X108" s="171"/>
    </row>
    <row r="109" spans="5:24">
      <c r="E109" s="166"/>
      <c r="F109" s="166"/>
      <c r="G109" s="165"/>
      <c r="H109" s="165"/>
      <c r="J109" s="165"/>
      <c r="K109" s="165"/>
      <c r="L109" s="165"/>
      <c r="U109" s="170"/>
      <c r="V109" s="162"/>
      <c r="W109" s="162"/>
      <c r="X109" s="171"/>
    </row>
    <row r="110" spans="5:24">
      <c r="E110" s="166"/>
      <c r="F110" s="166"/>
      <c r="G110" s="165"/>
      <c r="H110" s="165"/>
      <c r="J110" s="165"/>
      <c r="K110" s="165"/>
      <c r="L110" s="165"/>
      <c r="U110" s="170"/>
      <c r="V110" s="162"/>
      <c r="W110" s="162"/>
      <c r="X110" s="171"/>
    </row>
    <row r="111" spans="5:24">
      <c r="E111" s="166"/>
      <c r="F111" s="166"/>
      <c r="G111" s="165"/>
      <c r="H111" s="165"/>
      <c r="J111" s="165"/>
      <c r="K111" s="165"/>
      <c r="L111" s="165"/>
      <c r="U111" s="170"/>
      <c r="V111" s="162"/>
      <c r="W111" s="162"/>
      <c r="X111" s="171"/>
    </row>
    <row r="112" spans="5:24">
      <c r="E112" s="166"/>
      <c r="F112" s="166"/>
      <c r="G112" s="165"/>
      <c r="H112" s="165"/>
      <c r="J112" s="165"/>
      <c r="K112" s="165"/>
      <c r="L112" s="165"/>
      <c r="U112" s="170"/>
      <c r="V112" s="162"/>
      <c r="W112" s="162"/>
      <c r="X112" s="171"/>
    </row>
    <row r="113" spans="5:24">
      <c r="E113" s="166"/>
      <c r="F113" s="166"/>
      <c r="G113" s="165"/>
      <c r="H113" s="165"/>
      <c r="J113" s="165"/>
      <c r="K113" s="165"/>
      <c r="L113" s="165"/>
      <c r="U113" s="170"/>
      <c r="V113" s="162"/>
      <c r="W113" s="162"/>
      <c r="X113" s="171"/>
    </row>
    <row r="114" spans="5:24">
      <c r="E114" s="166"/>
      <c r="F114" s="166"/>
      <c r="G114" s="165"/>
      <c r="H114" s="165"/>
      <c r="J114" s="165"/>
      <c r="K114" s="165"/>
      <c r="L114" s="165"/>
      <c r="U114" s="170"/>
      <c r="V114" s="162"/>
      <c r="W114" s="162"/>
      <c r="X114" s="171"/>
    </row>
    <row r="115" spans="5:24">
      <c r="E115" s="166"/>
      <c r="F115" s="166"/>
      <c r="G115" s="165"/>
      <c r="H115" s="165"/>
      <c r="J115" s="165"/>
      <c r="K115" s="165"/>
      <c r="L115" s="165"/>
      <c r="U115" s="170"/>
      <c r="V115" s="162"/>
      <c r="W115" s="162"/>
      <c r="X115" s="171"/>
    </row>
    <row r="116" spans="5:24">
      <c r="E116" s="166"/>
      <c r="F116" s="166"/>
      <c r="G116" s="165"/>
      <c r="H116" s="165"/>
      <c r="J116" s="165"/>
      <c r="K116" s="165"/>
      <c r="L116" s="165"/>
      <c r="U116" s="170"/>
      <c r="V116" s="162"/>
      <c r="W116" s="162"/>
      <c r="X116" s="171"/>
    </row>
    <row r="117" spans="5:24">
      <c r="E117" s="166"/>
      <c r="F117" s="166"/>
      <c r="G117" s="165"/>
      <c r="H117" s="165"/>
      <c r="J117" s="165"/>
      <c r="K117" s="165"/>
      <c r="L117" s="165"/>
      <c r="U117" s="170"/>
      <c r="V117" s="162"/>
      <c r="W117" s="162"/>
      <c r="X117" s="171"/>
    </row>
    <row r="118" spans="5:24">
      <c r="E118" s="166"/>
      <c r="F118" s="166"/>
      <c r="G118" s="165"/>
      <c r="H118" s="165"/>
      <c r="J118" s="165"/>
      <c r="K118" s="165"/>
      <c r="L118" s="165"/>
      <c r="U118" s="170"/>
      <c r="V118" s="162"/>
      <c r="W118" s="162"/>
      <c r="X118" s="171"/>
    </row>
    <row r="119" spans="5:24">
      <c r="E119" s="166"/>
      <c r="F119" s="166"/>
      <c r="G119" s="165"/>
      <c r="H119" s="165"/>
      <c r="J119" s="165"/>
      <c r="K119" s="165"/>
      <c r="L119" s="165"/>
      <c r="U119" s="170"/>
      <c r="V119" s="162"/>
      <c r="W119" s="162"/>
      <c r="X119" s="171"/>
    </row>
    <row r="120" spans="5:24">
      <c r="E120" s="166"/>
      <c r="F120" s="166"/>
      <c r="G120" s="165"/>
      <c r="H120" s="165"/>
      <c r="J120" s="165"/>
      <c r="K120" s="165"/>
      <c r="L120" s="165"/>
      <c r="U120" s="170"/>
      <c r="V120" s="162"/>
      <c r="W120" s="162"/>
      <c r="X120" s="171"/>
    </row>
    <row r="121" spans="5:24">
      <c r="E121" s="166"/>
      <c r="F121" s="166"/>
      <c r="G121" s="165"/>
      <c r="H121" s="165"/>
      <c r="J121" s="165"/>
      <c r="K121" s="165"/>
      <c r="L121" s="165"/>
      <c r="U121" s="170"/>
      <c r="V121" s="162"/>
      <c r="W121" s="162"/>
      <c r="X121" s="171"/>
    </row>
    <row r="122" spans="5:24">
      <c r="E122" s="166"/>
      <c r="F122" s="166"/>
      <c r="G122" s="165"/>
      <c r="H122" s="165"/>
      <c r="J122" s="165"/>
      <c r="K122" s="165"/>
      <c r="L122" s="165"/>
      <c r="U122" s="170"/>
      <c r="V122" s="162"/>
      <c r="W122" s="162"/>
      <c r="X122" s="171"/>
    </row>
    <row r="123" spans="5:24">
      <c r="E123" s="166"/>
      <c r="F123" s="166"/>
      <c r="G123" s="165"/>
      <c r="H123" s="165"/>
      <c r="J123" s="165"/>
      <c r="K123" s="165"/>
      <c r="L123" s="165"/>
      <c r="U123" s="170"/>
      <c r="V123" s="162"/>
      <c r="W123" s="162"/>
      <c r="X123" s="171"/>
    </row>
    <row r="124" spans="5:24">
      <c r="E124" s="166"/>
      <c r="F124" s="166"/>
      <c r="G124" s="165"/>
      <c r="H124" s="165"/>
      <c r="J124" s="165"/>
      <c r="K124" s="165"/>
      <c r="L124" s="165"/>
      <c r="U124" s="170"/>
      <c r="V124" s="162"/>
      <c r="W124" s="162"/>
      <c r="X124" s="171"/>
    </row>
    <row r="125" spans="5:24">
      <c r="E125" s="166"/>
      <c r="F125" s="166"/>
      <c r="G125" s="165"/>
      <c r="H125" s="165"/>
      <c r="J125" s="165"/>
      <c r="K125" s="165"/>
      <c r="L125" s="165"/>
      <c r="U125" s="170"/>
      <c r="V125" s="162"/>
      <c r="W125" s="162"/>
      <c r="X125" s="171"/>
    </row>
    <row r="126" spans="5:24">
      <c r="E126" s="166"/>
      <c r="F126" s="166"/>
      <c r="G126" s="165"/>
      <c r="H126" s="165"/>
      <c r="J126" s="165"/>
      <c r="K126" s="165"/>
      <c r="L126" s="165"/>
      <c r="U126" s="170"/>
      <c r="V126" s="162"/>
      <c r="W126" s="162"/>
      <c r="X126" s="171"/>
    </row>
    <row r="127" spans="5:24">
      <c r="E127" s="166"/>
      <c r="F127" s="166"/>
      <c r="G127" s="165"/>
      <c r="H127" s="165"/>
      <c r="J127" s="165"/>
      <c r="K127" s="165"/>
      <c r="L127" s="165"/>
      <c r="U127" s="170"/>
      <c r="V127" s="162"/>
      <c r="W127" s="162"/>
      <c r="X127" s="171"/>
    </row>
    <row r="128" spans="5:24">
      <c r="E128" s="166"/>
      <c r="F128" s="166"/>
      <c r="G128" s="165"/>
      <c r="H128" s="165"/>
      <c r="J128" s="165"/>
      <c r="K128" s="165"/>
      <c r="L128" s="165"/>
      <c r="U128" s="170"/>
      <c r="V128" s="162"/>
      <c r="W128" s="162"/>
      <c r="X128" s="171"/>
    </row>
    <row r="129" spans="5:24">
      <c r="E129" s="166"/>
      <c r="F129" s="166"/>
      <c r="G129" s="165"/>
      <c r="H129" s="165"/>
      <c r="J129" s="165"/>
      <c r="K129" s="165"/>
      <c r="L129" s="165"/>
      <c r="U129" s="170"/>
      <c r="V129" s="162"/>
      <c r="W129" s="162"/>
      <c r="X129" s="171"/>
    </row>
    <row r="130" spans="5:24">
      <c r="E130" s="166"/>
      <c r="F130" s="166"/>
      <c r="G130" s="165"/>
      <c r="H130" s="165"/>
      <c r="J130" s="165"/>
      <c r="K130" s="165"/>
      <c r="L130" s="165"/>
      <c r="U130" s="170"/>
      <c r="V130" s="162"/>
      <c r="W130" s="162"/>
      <c r="X130" s="171"/>
    </row>
    <row r="131" spans="5:24">
      <c r="E131" s="166"/>
      <c r="F131" s="166"/>
      <c r="G131" s="165"/>
      <c r="H131" s="165"/>
      <c r="J131" s="165"/>
      <c r="K131" s="165"/>
      <c r="L131" s="165"/>
      <c r="U131" s="170"/>
      <c r="V131" s="162"/>
      <c r="W131" s="162"/>
      <c r="X131" s="171"/>
    </row>
    <row r="132" spans="5:24">
      <c r="E132" s="166"/>
      <c r="F132" s="166"/>
      <c r="G132" s="165"/>
      <c r="H132" s="165"/>
      <c r="J132" s="165"/>
      <c r="K132" s="165"/>
      <c r="L132" s="165"/>
      <c r="U132" s="170"/>
      <c r="V132" s="162"/>
      <c r="W132" s="162"/>
      <c r="X132" s="171"/>
    </row>
    <row r="133" spans="5:24">
      <c r="E133" s="166"/>
      <c r="F133" s="166"/>
      <c r="G133" s="165"/>
      <c r="H133" s="165"/>
      <c r="J133" s="165"/>
      <c r="K133" s="165"/>
      <c r="L133" s="165"/>
      <c r="U133" s="170"/>
      <c r="V133" s="162"/>
      <c r="W133" s="162"/>
      <c r="X133" s="171"/>
    </row>
    <row r="134" spans="5:24">
      <c r="E134" s="166"/>
      <c r="F134" s="166"/>
      <c r="G134" s="165"/>
      <c r="H134" s="165"/>
      <c r="J134" s="165"/>
      <c r="K134" s="165"/>
      <c r="L134" s="165"/>
      <c r="U134" s="170"/>
      <c r="V134" s="162"/>
      <c r="W134" s="162"/>
      <c r="X134" s="171"/>
    </row>
    <row r="135" spans="5:24">
      <c r="E135" s="166"/>
      <c r="F135" s="166"/>
      <c r="G135" s="165"/>
      <c r="H135" s="165"/>
      <c r="J135" s="165"/>
      <c r="K135" s="165"/>
      <c r="L135" s="165"/>
      <c r="U135" s="170"/>
      <c r="V135" s="162"/>
      <c r="W135" s="162"/>
      <c r="X135" s="171"/>
    </row>
    <row r="136" spans="5:24">
      <c r="E136" s="166"/>
      <c r="F136" s="166"/>
      <c r="G136" s="165"/>
      <c r="H136" s="165"/>
      <c r="J136" s="165"/>
      <c r="K136" s="165"/>
      <c r="L136" s="165"/>
      <c r="U136" s="170"/>
      <c r="V136" s="162"/>
      <c r="W136" s="162"/>
      <c r="X136" s="171"/>
    </row>
    <row r="137" spans="5:24">
      <c r="E137" s="166"/>
      <c r="F137" s="166"/>
      <c r="G137" s="165"/>
      <c r="H137" s="165"/>
      <c r="J137" s="165"/>
      <c r="K137" s="165"/>
      <c r="L137" s="165"/>
      <c r="U137" s="170"/>
      <c r="V137" s="162"/>
      <c r="W137" s="162"/>
      <c r="X137" s="171"/>
    </row>
    <row r="138" spans="5:24">
      <c r="E138" s="166"/>
      <c r="F138" s="166"/>
      <c r="G138" s="165"/>
      <c r="H138" s="165"/>
      <c r="J138" s="165"/>
      <c r="K138" s="165"/>
      <c r="L138" s="165"/>
      <c r="U138" s="170"/>
      <c r="V138" s="162"/>
      <c r="W138" s="162"/>
      <c r="X138" s="171"/>
    </row>
  </sheetData>
  <sheetProtection selectLockedCells="1" selectUnlockedCells="1"/>
  <pageMargins left="0.7" right="0.7" top="0.75" bottom="0.75" header="0.3" footer="0.3"/>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FF00"/>
  </sheetPr>
  <dimension ref="A1:AD70"/>
  <sheetViews>
    <sheetView workbookViewId="0">
      <selection activeCell="G14" sqref="G14"/>
    </sheetView>
  </sheetViews>
  <sheetFormatPr defaultColWidth="9" defaultRowHeight="15"/>
  <cols>
    <col min="1" max="1" width="18.5714285714286" customWidth="1"/>
    <col min="2" max="2" width="11.7142857142857" customWidth="1"/>
    <col min="6" max="6" width="23.4285714285714" customWidth="1"/>
    <col min="18" max="18" width="4.28571428571429" customWidth="1"/>
    <col min="19" max="19" width="4.42857142857143" customWidth="1"/>
    <col min="257" max="257" width="18.5714285714286" customWidth="1"/>
    <col min="262" max="262" width="23.4285714285714" customWidth="1"/>
    <col min="274" max="274" width="4.28571428571429" customWidth="1"/>
    <col min="275" max="275" width="4.42857142857143" customWidth="1"/>
    <col min="513" max="513" width="18.5714285714286" customWidth="1"/>
    <col min="518" max="518" width="23.4285714285714" customWidth="1"/>
    <col min="530" max="530" width="4.28571428571429" customWidth="1"/>
    <col min="531" max="531" width="4.42857142857143" customWidth="1"/>
    <col min="769" max="769" width="18.5714285714286" customWidth="1"/>
    <col min="774" max="774" width="23.4285714285714" customWidth="1"/>
    <col min="786" max="786" width="4.28571428571429" customWidth="1"/>
    <col min="787" max="787" width="4.42857142857143" customWidth="1"/>
    <col min="1025" max="1025" width="18.5714285714286" customWidth="1"/>
    <col min="1030" max="1030" width="23.4285714285714" customWidth="1"/>
    <col min="1042" max="1042" width="4.28571428571429" customWidth="1"/>
    <col min="1043" max="1043" width="4.42857142857143" customWidth="1"/>
    <col min="1281" max="1281" width="18.5714285714286" customWidth="1"/>
    <col min="1286" max="1286" width="23.4285714285714" customWidth="1"/>
    <col min="1298" max="1298" width="4.28571428571429" customWidth="1"/>
    <col min="1299" max="1299" width="4.42857142857143" customWidth="1"/>
    <col min="1537" max="1537" width="18.5714285714286" customWidth="1"/>
    <col min="1542" max="1542" width="23.4285714285714" customWidth="1"/>
    <col min="1554" max="1554" width="4.28571428571429" customWidth="1"/>
    <col min="1555" max="1555" width="4.42857142857143" customWidth="1"/>
    <col min="1793" max="1793" width="18.5714285714286" customWidth="1"/>
    <col min="1798" max="1798" width="23.4285714285714" customWidth="1"/>
    <col min="1810" max="1810" width="4.28571428571429" customWidth="1"/>
    <col min="1811" max="1811" width="4.42857142857143" customWidth="1"/>
    <col min="2049" max="2049" width="18.5714285714286" customWidth="1"/>
    <col min="2054" max="2054" width="23.4285714285714" customWidth="1"/>
    <col min="2066" max="2066" width="4.28571428571429" customWidth="1"/>
    <col min="2067" max="2067" width="4.42857142857143" customWidth="1"/>
    <col min="2305" max="2305" width="18.5714285714286" customWidth="1"/>
    <col min="2310" max="2310" width="23.4285714285714" customWidth="1"/>
    <col min="2322" max="2322" width="4.28571428571429" customWidth="1"/>
    <col min="2323" max="2323" width="4.42857142857143" customWidth="1"/>
    <col min="2561" max="2561" width="18.5714285714286" customWidth="1"/>
    <col min="2566" max="2566" width="23.4285714285714" customWidth="1"/>
    <col min="2578" max="2578" width="4.28571428571429" customWidth="1"/>
    <col min="2579" max="2579" width="4.42857142857143" customWidth="1"/>
    <col min="2817" max="2817" width="18.5714285714286" customWidth="1"/>
    <col min="2822" max="2822" width="23.4285714285714" customWidth="1"/>
    <col min="2834" max="2834" width="4.28571428571429" customWidth="1"/>
    <col min="2835" max="2835" width="4.42857142857143" customWidth="1"/>
    <col min="3073" max="3073" width="18.5714285714286" customWidth="1"/>
    <col min="3078" max="3078" width="23.4285714285714" customWidth="1"/>
    <col min="3090" max="3090" width="4.28571428571429" customWidth="1"/>
    <col min="3091" max="3091" width="4.42857142857143" customWidth="1"/>
    <col min="3329" max="3329" width="18.5714285714286" customWidth="1"/>
    <col min="3334" max="3334" width="23.4285714285714" customWidth="1"/>
    <col min="3346" max="3346" width="4.28571428571429" customWidth="1"/>
    <col min="3347" max="3347" width="4.42857142857143" customWidth="1"/>
    <col min="3585" max="3585" width="18.5714285714286" customWidth="1"/>
    <col min="3590" max="3590" width="23.4285714285714" customWidth="1"/>
    <col min="3602" max="3602" width="4.28571428571429" customWidth="1"/>
    <col min="3603" max="3603" width="4.42857142857143" customWidth="1"/>
    <col min="3841" max="3841" width="18.5714285714286" customWidth="1"/>
    <col min="3846" max="3846" width="23.4285714285714" customWidth="1"/>
    <col min="3858" max="3858" width="4.28571428571429" customWidth="1"/>
    <col min="3859" max="3859" width="4.42857142857143" customWidth="1"/>
    <col min="4097" max="4097" width="18.5714285714286" customWidth="1"/>
    <col min="4102" max="4102" width="23.4285714285714" customWidth="1"/>
    <col min="4114" max="4114" width="4.28571428571429" customWidth="1"/>
    <col min="4115" max="4115" width="4.42857142857143" customWidth="1"/>
    <col min="4353" max="4353" width="18.5714285714286" customWidth="1"/>
    <col min="4358" max="4358" width="23.4285714285714" customWidth="1"/>
    <col min="4370" max="4370" width="4.28571428571429" customWidth="1"/>
    <col min="4371" max="4371" width="4.42857142857143" customWidth="1"/>
    <col min="4609" max="4609" width="18.5714285714286" customWidth="1"/>
    <col min="4614" max="4614" width="23.4285714285714" customWidth="1"/>
    <col min="4626" max="4626" width="4.28571428571429" customWidth="1"/>
    <col min="4627" max="4627" width="4.42857142857143" customWidth="1"/>
    <col min="4865" max="4865" width="18.5714285714286" customWidth="1"/>
    <col min="4870" max="4870" width="23.4285714285714" customWidth="1"/>
    <col min="4882" max="4882" width="4.28571428571429" customWidth="1"/>
    <col min="4883" max="4883" width="4.42857142857143" customWidth="1"/>
    <col min="5121" max="5121" width="18.5714285714286" customWidth="1"/>
    <col min="5126" max="5126" width="23.4285714285714" customWidth="1"/>
    <col min="5138" max="5138" width="4.28571428571429" customWidth="1"/>
    <col min="5139" max="5139" width="4.42857142857143" customWidth="1"/>
    <col min="5377" max="5377" width="18.5714285714286" customWidth="1"/>
    <col min="5382" max="5382" width="23.4285714285714" customWidth="1"/>
    <col min="5394" max="5394" width="4.28571428571429" customWidth="1"/>
    <col min="5395" max="5395" width="4.42857142857143" customWidth="1"/>
    <col min="5633" max="5633" width="18.5714285714286" customWidth="1"/>
    <col min="5638" max="5638" width="23.4285714285714" customWidth="1"/>
    <col min="5650" max="5650" width="4.28571428571429" customWidth="1"/>
    <col min="5651" max="5651" width="4.42857142857143" customWidth="1"/>
    <col min="5889" max="5889" width="18.5714285714286" customWidth="1"/>
    <col min="5894" max="5894" width="23.4285714285714" customWidth="1"/>
    <col min="5906" max="5906" width="4.28571428571429" customWidth="1"/>
    <col min="5907" max="5907" width="4.42857142857143" customWidth="1"/>
    <col min="6145" max="6145" width="18.5714285714286" customWidth="1"/>
    <col min="6150" max="6150" width="23.4285714285714" customWidth="1"/>
    <col min="6162" max="6162" width="4.28571428571429" customWidth="1"/>
    <col min="6163" max="6163" width="4.42857142857143" customWidth="1"/>
    <col min="6401" max="6401" width="18.5714285714286" customWidth="1"/>
    <col min="6406" max="6406" width="23.4285714285714" customWidth="1"/>
    <col min="6418" max="6418" width="4.28571428571429" customWidth="1"/>
    <col min="6419" max="6419" width="4.42857142857143" customWidth="1"/>
    <col min="6657" max="6657" width="18.5714285714286" customWidth="1"/>
    <col min="6662" max="6662" width="23.4285714285714" customWidth="1"/>
    <col min="6674" max="6674" width="4.28571428571429" customWidth="1"/>
    <col min="6675" max="6675" width="4.42857142857143" customWidth="1"/>
    <col min="6913" max="6913" width="18.5714285714286" customWidth="1"/>
    <col min="6918" max="6918" width="23.4285714285714" customWidth="1"/>
    <col min="6930" max="6930" width="4.28571428571429" customWidth="1"/>
    <col min="6931" max="6931" width="4.42857142857143" customWidth="1"/>
    <col min="7169" max="7169" width="18.5714285714286" customWidth="1"/>
    <col min="7174" max="7174" width="23.4285714285714" customWidth="1"/>
    <col min="7186" max="7186" width="4.28571428571429" customWidth="1"/>
    <col min="7187" max="7187" width="4.42857142857143" customWidth="1"/>
    <col min="7425" max="7425" width="18.5714285714286" customWidth="1"/>
    <col min="7430" max="7430" width="23.4285714285714" customWidth="1"/>
    <col min="7442" max="7442" width="4.28571428571429" customWidth="1"/>
    <col min="7443" max="7443" width="4.42857142857143" customWidth="1"/>
    <col min="7681" max="7681" width="18.5714285714286" customWidth="1"/>
    <col min="7686" max="7686" width="23.4285714285714" customWidth="1"/>
    <col min="7698" max="7698" width="4.28571428571429" customWidth="1"/>
    <col min="7699" max="7699" width="4.42857142857143" customWidth="1"/>
    <col min="7937" max="7937" width="18.5714285714286" customWidth="1"/>
    <col min="7942" max="7942" width="23.4285714285714" customWidth="1"/>
    <col min="7954" max="7954" width="4.28571428571429" customWidth="1"/>
    <col min="7955" max="7955" width="4.42857142857143" customWidth="1"/>
    <col min="8193" max="8193" width="18.5714285714286" customWidth="1"/>
    <col min="8198" max="8198" width="23.4285714285714" customWidth="1"/>
    <col min="8210" max="8210" width="4.28571428571429" customWidth="1"/>
    <col min="8211" max="8211" width="4.42857142857143" customWidth="1"/>
    <col min="8449" max="8449" width="18.5714285714286" customWidth="1"/>
    <col min="8454" max="8454" width="23.4285714285714" customWidth="1"/>
    <col min="8466" max="8466" width="4.28571428571429" customWidth="1"/>
    <col min="8467" max="8467" width="4.42857142857143" customWidth="1"/>
    <col min="8705" max="8705" width="18.5714285714286" customWidth="1"/>
    <col min="8710" max="8710" width="23.4285714285714" customWidth="1"/>
    <col min="8722" max="8722" width="4.28571428571429" customWidth="1"/>
    <col min="8723" max="8723" width="4.42857142857143" customWidth="1"/>
    <col min="8961" max="8961" width="18.5714285714286" customWidth="1"/>
    <col min="8966" max="8966" width="23.4285714285714" customWidth="1"/>
    <col min="8978" max="8978" width="4.28571428571429" customWidth="1"/>
    <col min="8979" max="8979" width="4.42857142857143" customWidth="1"/>
    <col min="9217" max="9217" width="18.5714285714286" customWidth="1"/>
    <col min="9222" max="9222" width="23.4285714285714" customWidth="1"/>
    <col min="9234" max="9234" width="4.28571428571429" customWidth="1"/>
    <col min="9235" max="9235" width="4.42857142857143" customWidth="1"/>
    <col min="9473" max="9473" width="18.5714285714286" customWidth="1"/>
    <col min="9478" max="9478" width="23.4285714285714" customWidth="1"/>
    <col min="9490" max="9490" width="4.28571428571429" customWidth="1"/>
    <col min="9491" max="9491" width="4.42857142857143" customWidth="1"/>
    <col min="9729" max="9729" width="18.5714285714286" customWidth="1"/>
    <col min="9734" max="9734" width="23.4285714285714" customWidth="1"/>
    <col min="9746" max="9746" width="4.28571428571429" customWidth="1"/>
    <col min="9747" max="9747" width="4.42857142857143" customWidth="1"/>
    <col min="9985" max="9985" width="18.5714285714286" customWidth="1"/>
    <col min="9990" max="9990" width="23.4285714285714" customWidth="1"/>
    <col min="10002" max="10002" width="4.28571428571429" customWidth="1"/>
    <col min="10003" max="10003" width="4.42857142857143" customWidth="1"/>
    <col min="10241" max="10241" width="18.5714285714286" customWidth="1"/>
    <col min="10246" max="10246" width="23.4285714285714" customWidth="1"/>
    <col min="10258" max="10258" width="4.28571428571429" customWidth="1"/>
    <col min="10259" max="10259" width="4.42857142857143" customWidth="1"/>
    <col min="10497" max="10497" width="18.5714285714286" customWidth="1"/>
    <col min="10502" max="10502" width="23.4285714285714" customWidth="1"/>
    <col min="10514" max="10514" width="4.28571428571429" customWidth="1"/>
    <col min="10515" max="10515" width="4.42857142857143" customWidth="1"/>
    <col min="10753" max="10753" width="18.5714285714286" customWidth="1"/>
    <col min="10758" max="10758" width="23.4285714285714" customWidth="1"/>
    <col min="10770" max="10770" width="4.28571428571429" customWidth="1"/>
    <col min="10771" max="10771" width="4.42857142857143" customWidth="1"/>
    <col min="11009" max="11009" width="18.5714285714286" customWidth="1"/>
    <col min="11014" max="11014" width="23.4285714285714" customWidth="1"/>
    <col min="11026" max="11026" width="4.28571428571429" customWidth="1"/>
    <col min="11027" max="11027" width="4.42857142857143" customWidth="1"/>
    <col min="11265" max="11265" width="18.5714285714286" customWidth="1"/>
    <col min="11270" max="11270" width="23.4285714285714" customWidth="1"/>
    <col min="11282" max="11282" width="4.28571428571429" customWidth="1"/>
    <col min="11283" max="11283" width="4.42857142857143" customWidth="1"/>
    <col min="11521" max="11521" width="18.5714285714286" customWidth="1"/>
    <col min="11526" max="11526" width="23.4285714285714" customWidth="1"/>
    <col min="11538" max="11538" width="4.28571428571429" customWidth="1"/>
    <col min="11539" max="11539" width="4.42857142857143" customWidth="1"/>
    <col min="11777" max="11777" width="18.5714285714286" customWidth="1"/>
    <col min="11782" max="11782" width="23.4285714285714" customWidth="1"/>
    <col min="11794" max="11794" width="4.28571428571429" customWidth="1"/>
    <col min="11795" max="11795" width="4.42857142857143" customWidth="1"/>
    <col min="12033" max="12033" width="18.5714285714286" customWidth="1"/>
    <col min="12038" max="12038" width="23.4285714285714" customWidth="1"/>
    <col min="12050" max="12050" width="4.28571428571429" customWidth="1"/>
    <col min="12051" max="12051" width="4.42857142857143" customWidth="1"/>
    <col min="12289" max="12289" width="18.5714285714286" customWidth="1"/>
    <col min="12294" max="12294" width="23.4285714285714" customWidth="1"/>
    <col min="12306" max="12306" width="4.28571428571429" customWidth="1"/>
    <col min="12307" max="12307" width="4.42857142857143" customWidth="1"/>
    <col min="12545" max="12545" width="18.5714285714286" customWidth="1"/>
    <col min="12550" max="12550" width="23.4285714285714" customWidth="1"/>
    <col min="12562" max="12562" width="4.28571428571429" customWidth="1"/>
    <col min="12563" max="12563" width="4.42857142857143" customWidth="1"/>
    <col min="12801" max="12801" width="18.5714285714286" customWidth="1"/>
    <col min="12806" max="12806" width="23.4285714285714" customWidth="1"/>
    <col min="12818" max="12818" width="4.28571428571429" customWidth="1"/>
    <col min="12819" max="12819" width="4.42857142857143" customWidth="1"/>
    <col min="13057" max="13057" width="18.5714285714286" customWidth="1"/>
    <col min="13062" max="13062" width="23.4285714285714" customWidth="1"/>
    <col min="13074" max="13074" width="4.28571428571429" customWidth="1"/>
    <col min="13075" max="13075" width="4.42857142857143" customWidth="1"/>
    <col min="13313" max="13313" width="18.5714285714286" customWidth="1"/>
    <col min="13318" max="13318" width="23.4285714285714" customWidth="1"/>
    <col min="13330" max="13330" width="4.28571428571429" customWidth="1"/>
    <col min="13331" max="13331" width="4.42857142857143" customWidth="1"/>
    <col min="13569" max="13569" width="18.5714285714286" customWidth="1"/>
    <col min="13574" max="13574" width="23.4285714285714" customWidth="1"/>
    <col min="13586" max="13586" width="4.28571428571429" customWidth="1"/>
    <col min="13587" max="13587" width="4.42857142857143" customWidth="1"/>
    <col min="13825" max="13825" width="18.5714285714286" customWidth="1"/>
    <col min="13830" max="13830" width="23.4285714285714" customWidth="1"/>
    <col min="13842" max="13842" width="4.28571428571429" customWidth="1"/>
    <col min="13843" max="13843" width="4.42857142857143" customWidth="1"/>
    <col min="14081" max="14081" width="18.5714285714286" customWidth="1"/>
    <col min="14086" max="14086" width="23.4285714285714" customWidth="1"/>
    <col min="14098" max="14098" width="4.28571428571429" customWidth="1"/>
    <col min="14099" max="14099" width="4.42857142857143" customWidth="1"/>
    <col min="14337" max="14337" width="18.5714285714286" customWidth="1"/>
    <col min="14342" max="14342" width="23.4285714285714" customWidth="1"/>
    <col min="14354" max="14354" width="4.28571428571429" customWidth="1"/>
    <col min="14355" max="14355" width="4.42857142857143" customWidth="1"/>
    <col min="14593" max="14593" width="18.5714285714286" customWidth="1"/>
    <col min="14598" max="14598" width="23.4285714285714" customWidth="1"/>
    <col min="14610" max="14610" width="4.28571428571429" customWidth="1"/>
    <col min="14611" max="14611" width="4.42857142857143" customWidth="1"/>
    <col min="14849" max="14849" width="18.5714285714286" customWidth="1"/>
    <col min="14854" max="14854" width="23.4285714285714" customWidth="1"/>
    <col min="14866" max="14866" width="4.28571428571429" customWidth="1"/>
    <col min="14867" max="14867" width="4.42857142857143" customWidth="1"/>
    <col min="15105" max="15105" width="18.5714285714286" customWidth="1"/>
    <col min="15110" max="15110" width="23.4285714285714" customWidth="1"/>
    <col min="15122" max="15122" width="4.28571428571429" customWidth="1"/>
    <col min="15123" max="15123" width="4.42857142857143" customWidth="1"/>
    <col min="15361" max="15361" width="18.5714285714286" customWidth="1"/>
    <col min="15366" max="15366" width="23.4285714285714" customWidth="1"/>
    <col min="15378" max="15378" width="4.28571428571429" customWidth="1"/>
    <col min="15379" max="15379" width="4.42857142857143" customWidth="1"/>
    <col min="15617" max="15617" width="18.5714285714286" customWidth="1"/>
    <col min="15622" max="15622" width="23.4285714285714" customWidth="1"/>
    <col min="15634" max="15634" width="4.28571428571429" customWidth="1"/>
    <col min="15635" max="15635" width="4.42857142857143" customWidth="1"/>
    <col min="15873" max="15873" width="18.5714285714286" customWidth="1"/>
    <col min="15878" max="15878" width="23.4285714285714" customWidth="1"/>
    <col min="15890" max="15890" width="4.28571428571429" customWidth="1"/>
    <col min="15891" max="15891" width="4.42857142857143" customWidth="1"/>
    <col min="16129" max="16129" width="18.5714285714286" customWidth="1"/>
    <col min="16134" max="16134" width="23.4285714285714" customWidth="1"/>
    <col min="16146" max="16146" width="4.28571428571429" customWidth="1"/>
    <col min="16147" max="16147" width="4.42857142857143" customWidth="1"/>
  </cols>
  <sheetData>
    <row r="1" spans="2:11">
      <c r="B1" t="s">
        <v>388</v>
      </c>
      <c r="C1" t="s">
        <v>1644</v>
      </c>
      <c r="D1" t="s">
        <v>1641</v>
      </c>
      <c r="E1" t="s">
        <v>1645</v>
      </c>
      <c r="F1" t="s">
        <v>1639</v>
      </c>
      <c r="K1" t="s">
        <v>1646</v>
      </c>
    </row>
    <row r="2" spans="1:11">
      <c r="A2" t="s">
        <v>1647</v>
      </c>
      <c r="B2" s="150">
        <f>uxbWorks!B36</f>
        <v>35</v>
      </c>
      <c r="C2" s="150" t="str">
        <f>uxbWorks!I36</f>
        <v>Infrastructure Safety (Outputs)</v>
      </c>
      <c r="D2" s="150" t="str">
        <f>uxbWorks!K36</f>
        <v>Weighted sum of underlying indicator scores;</v>
      </c>
      <c r="E2" s="150">
        <f>uxbWorks!N36</f>
        <v>1</v>
      </c>
      <c r="F2" s="151">
        <f>uxbWorks!F36</f>
        <v>0</v>
      </c>
      <c r="G2" t="str">
        <f>CONCATENATE(C2,": ",D2)</f>
        <v>Infrastructure Safety (Outputs): Weighted sum of underlying indicator scores;</v>
      </c>
      <c r="K2">
        <f>IF(F2=1,1,IF(E2=1,0,1))</f>
        <v>0</v>
      </c>
    </row>
    <row r="3" spans="1:11">
      <c r="A3" t="s">
        <v>1648</v>
      </c>
      <c r="B3" s="150">
        <f>uxbWorks!B37</f>
        <v>33</v>
      </c>
      <c r="C3" s="150" t="str">
        <f>uxbWorks!I37</f>
        <v>Quality of electricity infrastructure</v>
      </c>
      <c r="D3" s="150" t="str">
        <f>uxbWorks!K37</f>
        <v>Scale 1-5</v>
      </c>
      <c r="E3" s="150">
        <f>uxbWorks!N37</f>
        <v>3</v>
      </c>
      <c r="F3" s="151">
        <f>uxbWorks!F37</f>
        <v>0</v>
      </c>
      <c r="G3" t="str">
        <f>CONCATENATE(C3,": ",D3)</f>
        <v>Quality of electricity infrastructure: Scale 1-5</v>
      </c>
      <c r="K3">
        <f>IF(F3=1,1,IF(E3=1,0,1))</f>
        <v>1</v>
      </c>
    </row>
    <row r="4" spans="1:2">
      <c r="A4" t="s">
        <v>1649</v>
      </c>
      <c r="B4" s="150">
        <f>uxbWorks!B17-1</f>
        <v>38</v>
      </c>
    </row>
    <row r="5" spans="1:2">
      <c r="A5" t="s">
        <v>1650</v>
      </c>
      <c r="B5" s="152" t="b">
        <f>uxbWorks!B20</f>
        <v>0</v>
      </c>
    </row>
    <row r="6" spans="1:2">
      <c r="A6" t="s">
        <v>1651</v>
      </c>
      <c r="B6" s="152" t="b">
        <f>uxbWorks!B21</f>
        <v>0</v>
      </c>
    </row>
    <row r="9" spans="1:1">
      <c r="A9" t="s">
        <v>1652</v>
      </c>
    </row>
    <row r="10" spans="1:2">
      <c r="A10" t="s">
        <v>1653</v>
      </c>
      <c r="B10" t="str">
        <f>C2</f>
        <v>Infrastructure Safety (Outputs)</v>
      </c>
    </row>
    <row r="11" spans="1:2">
      <c r="A11" t="s">
        <v>1654</v>
      </c>
      <c r="B11" t="str">
        <f>C3</f>
        <v>Quality of electricity infrastructure</v>
      </c>
    </row>
    <row r="12" spans="2:2">
      <c r="B12" t="str">
        <f>CONCATENATE(B10," VS ",B11," ")</f>
        <v>Infrastructure Safety (Outputs) VS Quality of electricity infrastructure </v>
      </c>
    </row>
    <row r="14" spans="1:8">
      <c r="A14" t="s">
        <v>1655</v>
      </c>
      <c r="B14">
        <f>SLOPE(H21:H70,G21:G70)</f>
        <v>-0.0204897269374669</v>
      </c>
      <c r="F14" t="s">
        <v>1656</v>
      </c>
      <c r="G14" s="153" t="e">
        <f>IF($F14,D14,"")</f>
        <v>#VALUE!</v>
      </c>
      <c r="H14" s="153" t="e">
        <f>IF($F14,E14,"")</f>
        <v>#VALUE!</v>
      </c>
    </row>
    <row r="15" spans="1:2">
      <c r="A15" t="s">
        <v>1657</v>
      </c>
      <c r="B15">
        <f>INTERCEPT(H21:H70,G21:G70)</f>
        <v>3.04110824234754</v>
      </c>
    </row>
    <row r="16" spans="1:2">
      <c r="A16" t="s">
        <v>1658</v>
      </c>
      <c r="B16">
        <f>CORREL(G21:G70,H21:H70)</f>
        <v>-0.261221875353395</v>
      </c>
    </row>
    <row r="17" spans="1:3">
      <c r="A17" t="s">
        <v>1659</v>
      </c>
      <c r="B17" t="b">
        <f>IF(ISERROR(B16),FALSE,TRUE)</f>
        <v>1</v>
      </c>
      <c r="C17" s="154" t="s">
        <v>1660</v>
      </c>
    </row>
    <row r="19" spans="4:29">
      <c r="D19" t="s">
        <v>1661</v>
      </c>
      <c r="F19" t="s">
        <v>1662</v>
      </c>
      <c r="G19" t="s">
        <v>1663</v>
      </c>
      <c r="J19" t="s">
        <v>1664</v>
      </c>
      <c r="M19" s="79" t="s">
        <v>1665</v>
      </c>
      <c r="S19" s="79" t="s">
        <v>1666</v>
      </c>
      <c r="W19" s="79" t="s">
        <v>1667</v>
      </c>
      <c r="Z19" s="79" t="s">
        <v>407</v>
      </c>
      <c r="AC19" s="1" t="s">
        <v>1668</v>
      </c>
    </row>
    <row r="20" spans="1:30">
      <c r="A20" t="s">
        <v>1629</v>
      </c>
      <c r="B20" t="s">
        <v>1669</v>
      </c>
      <c r="C20" s="155" t="s">
        <v>316</v>
      </c>
      <c r="D20" s="155" t="s">
        <v>1670</v>
      </c>
      <c r="E20" s="155" t="s">
        <v>1671</v>
      </c>
      <c r="G20" s="155" t="s">
        <v>1670</v>
      </c>
      <c r="H20" s="155" t="s">
        <v>1671</v>
      </c>
      <c r="J20" s="155" t="s">
        <v>1671</v>
      </c>
      <c r="K20" s="155" t="s">
        <v>1672</v>
      </c>
      <c r="L20" s="155" t="s">
        <v>1673</v>
      </c>
      <c r="N20" t="s">
        <v>1674</v>
      </c>
      <c r="O20" s="66" t="s">
        <v>1675</v>
      </c>
      <c r="P20" t="s">
        <v>1670</v>
      </c>
      <c r="Q20" t="s">
        <v>1671</v>
      </c>
      <c r="S20" t="s">
        <v>1676</v>
      </c>
      <c r="T20" t="s">
        <v>1670</v>
      </c>
      <c r="U20" t="s">
        <v>1671</v>
      </c>
      <c r="W20" t="s">
        <v>1670</v>
      </c>
      <c r="X20" t="s">
        <v>1671</v>
      </c>
      <c r="Z20" t="s">
        <v>1670</v>
      </c>
      <c r="AA20" t="s">
        <v>1671</v>
      </c>
      <c r="AC20" t="s">
        <v>1670</v>
      </c>
      <c r="AD20" t="s">
        <v>1671</v>
      </c>
    </row>
    <row r="21" spans="1:30">
      <c r="A21">
        <f>tblCities!A3</f>
        <v>1</v>
      </c>
      <c r="B21" s="152" t="str">
        <f>tblCities!C3</f>
        <v>Stockholm</v>
      </c>
      <c r="C21" s="152">
        <f>tblCities!D3</f>
        <v>2</v>
      </c>
      <c r="D21" s="152">
        <f t="shared" ref="D21:D70" si="0">IF($C21=0,NA(),IF($K$2=1,INDEX(aData,$B$2,$A21),INDEX(aRoundedScores,$B$2,$A21)))</f>
        <v>91.32</v>
      </c>
      <c r="E21" s="152">
        <f t="shared" ref="E21:E70" si="1">IF($C21=0,NA(),IF($K$3=1,INDEX(aData,$B$3,$A21),INDEX(aRoundedScores,$B$3,$A21)))</f>
        <v>2</v>
      </c>
      <c r="F21" t="b">
        <f>AND(ISNUMBER(D21),ISNUMBER(E21))</f>
        <v>1</v>
      </c>
      <c r="G21" s="153">
        <f>IF($F21,D21,"")</f>
        <v>91.32</v>
      </c>
      <c r="H21" s="153">
        <f>IF($F21,E21,"")</f>
        <v>2</v>
      </c>
      <c r="J21">
        <f>IF(G21="","",(G21*$B$14)+$B$15)</f>
        <v>1.16998637841806</v>
      </c>
      <c r="K21">
        <f>IF(J21="","",H21-J21)</f>
        <v>0.830013621581938</v>
      </c>
      <c r="L21">
        <f>INDEX(tblCities!$H$3:$L$52,iScatter!A21,uxbWorks!$B$25)</f>
        <v>1</v>
      </c>
      <c r="N21">
        <f>B4</f>
        <v>38</v>
      </c>
      <c r="O21" t="str">
        <f>IF($B$4=0,"&lt;none&gt;",INDEX(B21:B70,$B$4))</f>
        <v>Abu Dhabi</v>
      </c>
      <c r="P21">
        <f>IF($B$4=0,NA(),INDEX(G21:G70,$B$4))</f>
        <v>85.81</v>
      </c>
      <c r="Q21">
        <f>IF($B$4=0,NA(),INDEX(H21:H70,$B$4))</f>
        <v>2</v>
      </c>
      <c r="S21">
        <f>IF(NOT($B$5),0,IF(OR(A21=$N$21,A21=$N$25,A21=$N$29),0,IF(C21=3,0,1)))</f>
        <v>0</v>
      </c>
      <c r="T21" t="e">
        <f>IF(L21=0,NA(),IF($S21=0,NA(),G21))</f>
        <v>#N/A</v>
      </c>
      <c r="U21" t="e">
        <f>IF(L21=0,NA(),IF($S21=0,NA(),H21))</f>
        <v>#N/A</v>
      </c>
      <c r="W21">
        <f>IF(L21=0,NA(),IF(AND($C21&gt;0,$F21),G21,NA()))</f>
        <v>91.32</v>
      </c>
      <c r="X21">
        <f>IF(L21=0,NA(),IF(AND($C21&gt;0,$F21),H21,NA()))</f>
        <v>2</v>
      </c>
      <c r="Z21">
        <f>IF(L21=0,NA(),IF(AND($C21=2,$F21,$A21&lt;&gt;$N$21,$A21&lt;&gt;$N$25,$A21&lt;&gt;$N$29),G21,NA()))</f>
        <v>91.32</v>
      </c>
      <c r="AA21">
        <f>IF(L21=0,NA(),IF(AND($C21=2,$F21,$A21&lt;&gt;$N$21,$A21&lt;&gt;$N$25,$A21&lt;&gt;$N$29),H21,NA()))</f>
        <v>2</v>
      </c>
      <c r="AC21">
        <f>IF(L21=0,NA(),IF(AND($C21=2,$F21,$A21&lt;&gt;$N$21,$A21&lt;&gt;$N$25,$A21&lt;&gt;$N$29),G21,NA()))</f>
        <v>91.32</v>
      </c>
      <c r="AD21">
        <f>IF(L21=0,NA(),IF(AND($C21=2,$F21,$A21&lt;&gt;$N$21,$A21&lt;&gt;$N$25,$A21&lt;&gt;$N$29),H21,NA()))</f>
        <v>2</v>
      </c>
    </row>
    <row r="22" spans="1:30">
      <c r="A22">
        <f>tblCities!A4</f>
        <v>2</v>
      </c>
      <c r="B22" s="152" t="str">
        <f>tblCities!C4</f>
        <v>Johannesburg</v>
      </c>
      <c r="C22" s="152">
        <f>tblCities!D4</f>
        <v>2</v>
      </c>
      <c r="D22" s="152">
        <f t="shared" si="0"/>
        <v>65.34</v>
      </c>
      <c r="E22" s="152">
        <f t="shared" si="1"/>
        <v>3</v>
      </c>
      <c r="F22" t="b">
        <f t="shared" ref="F22:F44" si="2">AND(ISNUMBER(D22),ISNUMBER(E22))</f>
        <v>1</v>
      </c>
      <c r="G22" s="153">
        <f t="shared" ref="G22:G70" si="3">IF($F22,D22,"")</f>
        <v>65.34</v>
      </c>
      <c r="H22" s="153">
        <f t="shared" ref="H22:H70" si="4">IF($F22,E22,"")</f>
        <v>3</v>
      </c>
      <c r="J22">
        <f t="shared" ref="J22:J44" si="5">IF(G22="","",(G22*$B$14)+$B$15)</f>
        <v>1.70230948425345</v>
      </c>
      <c r="K22">
        <f t="shared" ref="K22:K44" si="6">IF(J22="","",H22-J22)</f>
        <v>1.29769051574655</v>
      </c>
      <c r="L22">
        <f>INDEX(tblCities!$H$3:$L$52,iScatter!A22,uxbWorks!$B$25)</f>
        <v>1</v>
      </c>
      <c r="S22">
        <f t="shared" ref="S22:S44" si="7">IF(NOT($B$5),0,IF(OR(A22=$N$21,A22=$N$25,A22=$N$29),0,IF(C22=3,0,1)))</f>
        <v>0</v>
      </c>
      <c r="T22" t="e">
        <f t="shared" ref="T22:T70" si="8">IF(L22=0,NA(),IF($S22=0,NA(),G22))</f>
        <v>#N/A</v>
      </c>
      <c r="U22" t="e">
        <f t="shared" ref="U22:U70" si="9">IF(L22=0,NA(),IF($S22=0,NA(),H22))</f>
        <v>#N/A</v>
      </c>
      <c r="W22">
        <f t="shared" ref="W22:W70" si="10">IF(L22=0,NA(),IF(AND($C22&gt;0,$F22),G22,NA()))</f>
        <v>65.34</v>
      </c>
      <c r="X22">
        <f t="shared" ref="X22:X70" si="11">IF(L22=0,NA(),IF(AND($C22&gt;0,$F22),H22,NA()))</f>
        <v>3</v>
      </c>
      <c r="Z22">
        <f t="shared" ref="Z22:Z70" si="12">IF(L22=0,NA(),IF(AND($C22=2,$F22,$A22&lt;&gt;$N$21,$A22&lt;&gt;$N$25,$A22&lt;&gt;$N$29),G22,NA()))</f>
        <v>65.34</v>
      </c>
      <c r="AA22">
        <f t="shared" ref="AA22:AA70" si="13">IF(L22=0,NA(),IF(AND($C22=2,$F22,$A22&lt;&gt;$N$21,$A22&lt;&gt;$N$25,$A22&lt;&gt;$N$29),H22,NA()))</f>
        <v>3</v>
      </c>
      <c r="AC22">
        <f t="shared" ref="AC22:AC70" si="14">IF(L22=0,NA(),IF(AND($C22=2,$F22,$A22&lt;&gt;$N$21,$A22&lt;&gt;$N$25,$A22&lt;&gt;$N$29),G22,NA()))</f>
        <v>65.34</v>
      </c>
      <c r="AD22">
        <f t="shared" ref="AD22:AD70" si="15">IF(L22=0,NA(),IF(AND($C22=2,$F22,$A22&lt;&gt;$N$21,$A22&lt;&gt;$N$25,$A22&lt;&gt;$N$29),H22,NA()))</f>
        <v>3</v>
      </c>
    </row>
    <row r="23" spans="1:30">
      <c r="A23">
        <f>tblCities!A5</f>
        <v>3</v>
      </c>
      <c r="B23" s="152" t="str">
        <f>tblCities!C5</f>
        <v>Buenos Aires</v>
      </c>
      <c r="C23" s="152">
        <f>tblCities!D5</f>
        <v>2</v>
      </c>
      <c r="D23" s="152">
        <f t="shared" si="0"/>
        <v>67.06</v>
      </c>
      <c r="E23" s="152">
        <f t="shared" si="1"/>
        <v>1</v>
      </c>
      <c r="F23" t="b">
        <f t="shared" si="2"/>
        <v>1</v>
      </c>
      <c r="G23" s="153">
        <f t="shared" si="3"/>
        <v>67.06</v>
      </c>
      <c r="H23" s="153">
        <f t="shared" si="4"/>
        <v>1</v>
      </c>
      <c r="J23">
        <f t="shared" si="5"/>
        <v>1.66706715392101</v>
      </c>
      <c r="K23">
        <f t="shared" si="6"/>
        <v>-0.667067153921008</v>
      </c>
      <c r="L23">
        <f>INDEX(tblCities!$H$3:$L$52,iScatter!A23,uxbWorks!$B$25)</f>
        <v>1</v>
      </c>
      <c r="M23" s="79" t="s">
        <v>1677</v>
      </c>
      <c r="S23">
        <f t="shared" si="7"/>
        <v>0</v>
      </c>
      <c r="T23" t="e">
        <f t="shared" si="8"/>
        <v>#N/A</v>
      </c>
      <c r="U23" t="e">
        <f t="shared" si="9"/>
        <v>#N/A</v>
      </c>
      <c r="W23">
        <f t="shared" si="10"/>
        <v>67.06</v>
      </c>
      <c r="X23">
        <f t="shared" si="11"/>
        <v>1</v>
      </c>
      <c r="Z23">
        <f t="shared" si="12"/>
        <v>67.06</v>
      </c>
      <c r="AA23">
        <f t="shared" si="13"/>
        <v>1</v>
      </c>
      <c r="AC23">
        <f t="shared" si="14"/>
        <v>67.06</v>
      </c>
      <c r="AD23">
        <f t="shared" si="15"/>
        <v>1</v>
      </c>
    </row>
    <row r="24" spans="1:30">
      <c r="A24">
        <f>tblCities!A6</f>
        <v>4</v>
      </c>
      <c r="B24" s="152" t="str">
        <f>tblCities!C6</f>
        <v>Sao Paulo</v>
      </c>
      <c r="C24" s="152">
        <f>tblCities!D6</f>
        <v>2</v>
      </c>
      <c r="D24" s="152">
        <f t="shared" si="0"/>
        <v>75.32</v>
      </c>
      <c r="E24" s="152">
        <f t="shared" si="1"/>
        <v>2</v>
      </c>
      <c r="F24" t="b">
        <f t="shared" si="2"/>
        <v>1</v>
      </c>
      <c r="G24" s="153">
        <f t="shared" si="3"/>
        <v>75.32</v>
      </c>
      <c r="H24" s="153">
        <f t="shared" si="4"/>
        <v>2</v>
      </c>
      <c r="J24">
        <f t="shared" si="5"/>
        <v>1.49782200941753</v>
      </c>
      <c r="K24">
        <f t="shared" si="6"/>
        <v>0.502177990582468</v>
      </c>
      <c r="L24">
        <f>INDEX(tblCities!$H$3:$L$52,iScatter!A24,uxbWorks!$B$25)</f>
        <v>1</v>
      </c>
      <c r="M24" t="s">
        <v>1678</v>
      </c>
      <c r="N24" t="s">
        <v>1674</v>
      </c>
      <c r="O24" s="66" t="s">
        <v>1675</v>
      </c>
      <c r="P24" t="s">
        <v>1670</v>
      </c>
      <c r="Q24" t="s">
        <v>1671</v>
      </c>
      <c r="S24">
        <f t="shared" si="7"/>
        <v>0</v>
      </c>
      <c r="T24" t="e">
        <f t="shared" si="8"/>
        <v>#N/A</v>
      </c>
      <c r="U24" t="e">
        <f t="shared" si="9"/>
        <v>#N/A</v>
      </c>
      <c r="W24">
        <f t="shared" si="10"/>
        <v>75.32</v>
      </c>
      <c r="X24">
        <f t="shared" si="11"/>
        <v>2</v>
      </c>
      <c r="Z24">
        <f t="shared" si="12"/>
        <v>75.32</v>
      </c>
      <c r="AA24">
        <f t="shared" si="13"/>
        <v>2</v>
      </c>
      <c r="AC24">
        <f t="shared" si="14"/>
        <v>75.32</v>
      </c>
      <c r="AD24">
        <f t="shared" si="15"/>
        <v>2</v>
      </c>
    </row>
    <row r="25" spans="1:30">
      <c r="A25">
        <f>tblCities!A7</f>
        <v>5</v>
      </c>
      <c r="B25" s="152" t="str">
        <f>tblCities!C7</f>
        <v>Rio de Janeiro</v>
      </c>
      <c r="C25" s="152">
        <f>tblCities!D7</f>
        <v>2</v>
      </c>
      <c r="D25" s="152">
        <f t="shared" si="0"/>
        <v>76.3</v>
      </c>
      <c r="E25" s="152">
        <f t="shared" si="1"/>
        <v>1</v>
      </c>
      <c r="F25" t="b">
        <f t="shared" si="2"/>
        <v>1</v>
      </c>
      <c r="G25" s="153">
        <f t="shared" si="3"/>
        <v>76.3</v>
      </c>
      <c r="H25" s="153">
        <f t="shared" si="4"/>
        <v>1</v>
      </c>
      <c r="J25">
        <f t="shared" si="5"/>
        <v>1.47774207701881</v>
      </c>
      <c r="K25">
        <f t="shared" si="6"/>
        <v>-0.477742077018814</v>
      </c>
      <c r="L25">
        <f>INDEX(tblCities!$H$3:$L$52,iScatter!A25,uxbWorks!$B$25)</f>
        <v>1</v>
      </c>
      <c r="M25">
        <f>MAX(K21:K70)</f>
        <v>2.68945409479092</v>
      </c>
      <c r="N25">
        <f>IF(B17,IF($B$6,MATCH(M25,K21:K70,0),0),0)</f>
        <v>0</v>
      </c>
      <c r="O25" t="e">
        <f>IF(AND($B$17,$B$6,N25&lt;&gt;N21),INDEX(B21:B70,$N25),NA())</f>
        <v>#N/A</v>
      </c>
      <c r="P25" t="e">
        <f>IF(AND($B$17,$B$6,N25&lt;&gt;N21),INDEX(G21:G70,$N25),NA())</f>
        <v>#N/A</v>
      </c>
      <c r="Q25" t="e">
        <f>IF(AND($B$17,$B$6,N25&lt;&gt;N21),INDEX(H21:H70,$N25),NA())</f>
        <v>#N/A</v>
      </c>
      <c r="S25">
        <f t="shared" si="7"/>
        <v>0</v>
      </c>
      <c r="T25" t="e">
        <f t="shared" si="8"/>
        <v>#N/A</v>
      </c>
      <c r="U25" t="e">
        <f t="shared" si="9"/>
        <v>#N/A</v>
      </c>
      <c r="W25">
        <f t="shared" si="10"/>
        <v>76.3</v>
      </c>
      <c r="X25">
        <f t="shared" si="11"/>
        <v>1</v>
      </c>
      <c r="Z25">
        <f t="shared" si="12"/>
        <v>76.3</v>
      </c>
      <c r="AA25">
        <f t="shared" si="13"/>
        <v>1</v>
      </c>
      <c r="AC25">
        <f t="shared" si="14"/>
        <v>76.3</v>
      </c>
      <c r="AD25">
        <f t="shared" si="15"/>
        <v>1</v>
      </c>
    </row>
    <row r="26" spans="1:30">
      <c r="A26">
        <f>tblCities!A8</f>
        <v>6</v>
      </c>
      <c r="B26" s="152" t="str">
        <f>tblCities!C8</f>
        <v>Los Angeles</v>
      </c>
      <c r="C26" s="152">
        <f>tblCities!D8</f>
        <v>2</v>
      </c>
      <c r="D26" s="152">
        <f t="shared" si="0"/>
        <v>82.44</v>
      </c>
      <c r="E26" s="152">
        <f t="shared" si="1"/>
        <v>1</v>
      </c>
      <c r="F26" t="b">
        <f t="shared" si="2"/>
        <v>1</v>
      </c>
      <c r="G26" s="153">
        <f t="shared" si="3"/>
        <v>82.44</v>
      </c>
      <c r="H26" s="153">
        <f t="shared" si="4"/>
        <v>1</v>
      </c>
      <c r="J26">
        <f t="shared" si="5"/>
        <v>1.35193515362277</v>
      </c>
      <c r="K26">
        <f t="shared" si="6"/>
        <v>-0.351935153622768</v>
      </c>
      <c r="L26">
        <f>INDEX(tblCities!$H$3:$L$52,iScatter!A26,uxbWorks!$B$25)</f>
        <v>1</v>
      </c>
      <c r="S26">
        <f t="shared" si="7"/>
        <v>0</v>
      </c>
      <c r="T26" t="e">
        <f t="shared" si="8"/>
        <v>#N/A</v>
      </c>
      <c r="U26" t="e">
        <f t="shared" si="9"/>
        <v>#N/A</v>
      </c>
      <c r="W26">
        <f t="shared" si="10"/>
        <v>82.44</v>
      </c>
      <c r="X26">
        <f t="shared" si="11"/>
        <v>1</v>
      </c>
      <c r="Z26">
        <f t="shared" si="12"/>
        <v>82.44</v>
      </c>
      <c r="AA26">
        <f t="shared" si="13"/>
        <v>1</v>
      </c>
      <c r="AC26">
        <f t="shared" si="14"/>
        <v>82.44</v>
      </c>
      <c r="AD26">
        <f t="shared" si="15"/>
        <v>1</v>
      </c>
    </row>
    <row r="27" spans="1:30">
      <c r="A27">
        <f>tblCities!A9</f>
        <v>7</v>
      </c>
      <c r="B27" s="152" t="str">
        <f>tblCities!C9</f>
        <v>San Francisco</v>
      </c>
      <c r="C27" s="152">
        <f>tblCities!D9</f>
        <v>2</v>
      </c>
      <c r="D27" s="152">
        <f t="shared" si="0"/>
        <v>82.32</v>
      </c>
      <c r="E27" s="152">
        <f t="shared" si="1"/>
        <v>1</v>
      </c>
      <c r="F27" t="b">
        <f t="shared" si="2"/>
        <v>1</v>
      </c>
      <c r="G27" s="153">
        <f t="shared" si="3"/>
        <v>82.32</v>
      </c>
      <c r="H27" s="153">
        <f t="shared" si="4"/>
        <v>1</v>
      </c>
      <c r="J27">
        <f t="shared" si="5"/>
        <v>1.35439392085526</v>
      </c>
      <c r="K27">
        <f t="shared" si="6"/>
        <v>-0.354393920855264</v>
      </c>
      <c r="L27">
        <f>INDEX(tblCities!$H$3:$L$52,iScatter!A27,uxbWorks!$B$25)</f>
        <v>1</v>
      </c>
      <c r="M27" s="79" t="s">
        <v>1679</v>
      </c>
      <c r="O27" s="66"/>
      <c r="S27">
        <f t="shared" si="7"/>
        <v>0</v>
      </c>
      <c r="T27" t="e">
        <f t="shared" si="8"/>
        <v>#N/A</v>
      </c>
      <c r="U27" t="e">
        <f t="shared" si="9"/>
        <v>#N/A</v>
      </c>
      <c r="W27">
        <f t="shared" si="10"/>
        <v>82.32</v>
      </c>
      <c r="X27">
        <f t="shared" si="11"/>
        <v>1</v>
      </c>
      <c r="Z27">
        <f t="shared" si="12"/>
        <v>82.32</v>
      </c>
      <c r="AA27">
        <f t="shared" si="13"/>
        <v>1</v>
      </c>
      <c r="AC27">
        <f t="shared" si="14"/>
        <v>82.32</v>
      </c>
      <c r="AD27">
        <f t="shared" si="15"/>
        <v>1</v>
      </c>
    </row>
    <row r="28" spans="1:30">
      <c r="A28">
        <f>tblCities!A10</f>
        <v>8</v>
      </c>
      <c r="B28" s="152" t="str">
        <f>tblCities!C10</f>
        <v>Toronto</v>
      </c>
      <c r="C28" s="152">
        <f>tblCities!D10</f>
        <v>2</v>
      </c>
      <c r="D28" s="152">
        <f t="shared" si="0"/>
        <v>85.13</v>
      </c>
      <c r="E28" s="152">
        <f t="shared" si="1"/>
        <v>1</v>
      </c>
      <c r="F28" t="b">
        <f t="shared" si="2"/>
        <v>1</v>
      </c>
      <c r="G28" s="153">
        <f t="shared" si="3"/>
        <v>85.13</v>
      </c>
      <c r="H28" s="153">
        <f t="shared" si="4"/>
        <v>1</v>
      </c>
      <c r="J28">
        <f t="shared" si="5"/>
        <v>1.29681778816098</v>
      </c>
      <c r="K28">
        <f t="shared" si="6"/>
        <v>-0.296817788160981</v>
      </c>
      <c r="L28">
        <f>INDEX(tblCities!$H$3:$L$52,iScatter!A28,uxbWorks!$B$25)</f>
        <v>1</v>
      </c>
      <c r="M28" t="s">
        <v>1678</v>
      </c>
      <c r="N28" t="s">
        <v>1674</v>
      </c>
      <c r="O28" s="66" t="s">
        <v>1675</v>
      </c>
      <c r="P28" t="s">
        <v>1670</v>
      </c>
      <c r="Q28" t="s">
        <v>1671</v>
      </c>
      <c r="S28">
        <f t="shared" si="7"/>
        <v>0</v>
      </c>
      <c r="T28" t="e">
        <f t="shared" si="8"/>
        <v>#N/A</v>
      </c>
      <c r="U28" t="e">
        <f t="shared" si="9"/>
        <v>#N/A</v>
      </c>
      <c r="W28">
        <f t="shared" si="10"/>
        <v>85.13</v>
      </c>
      <c r="X28">
        <f t="shared" si="11"/>
        <v>1</v>
      </c>
      <c r="Z28">
        <f t="shared" si="12"/>
        <v>85.13</v>
      </c>
      <c r="AA28">
        <f t="shared" si="13"/>
        <v>1</v>
      </c>
      <c r="AC28">
        <f t="shared" si="14"/>
        <v>85.13</v>
      </c>
      <c r="AD28">
        <f t="shared" si="15"/>
        <v>1</v>
      </c>
    </row>
    <row r="29" spans="1:30">
      <c r="A29">
        <f>tblCities!A11</f>
        <v>9</v>
      </c>
      <c r="B29" s="152" t="str">
        <f>tblCities!C11</f>
        <v>Montreal</v>
      </c>
      <c r="C29" s="152">
        <f>tblCities!D11</f>
        <v>2</v>
      </c>
      <c r="D29" s="152">
        <f t="shared" si="0"/>
        <v>88.94</v>
      </c>
      <c r="E29" s="152">
        <f t="shared" si="1"/>
        <v>1</v>
      </c>
      <c r="F29" t="b">
        <f t="shared" si="2"/>
        <v>1</v>
      </c>
      <c r="G29" s="153">
        <f t="shared" si="3"/>
        <v>88.94</v>
      </c>
      <c r="H29" s="153">
        <f t="shared" si="4"/>
        <v>1</v>
      </c>
      <c r="J29">
        <f t="shared" si="5"/>
        <v>1.21875192852923</v>
      </c>
      <c r="K29">
        <f t="shared" si="6"/>
        <v>-0.218751928529233</v>
      </c>
      <c r="L29">
        <f>INDEX(tblCities!$H$3:$L$52,iScatter!A29,uxbWorks!$B$25)</f>
        <v>1</v>
      </c>
      <c r="M29">
        <f>MIN(K21:K70)</f>
        <v>-0.751894623442121</v>
      </c>
      <c r="N29">
        <f>IF(B17,IF($B$6,MATCH(M29,K21:K70,0),0),0)</f>
        <v>0</v>
      </c>
      <c r="O29" t="e">
        <f>IF(AND($B$17,$B$6,N29&lt;&gt;N21),INDEX(B21:B70,$N29),NA())</f>
        <v>#N/A</v>
      </c>
      <c r="P29" t="e">
        <f>IF(AND($B$6,$B$17,N29&lt;&gt;N21),INDEX(G21:G70,$N29),NA())</f>
        <v>#N/A</v>
      </c>
      <c r="Q29" t="e">
        <f>IF(AND($B$6,$B$17,N29&lt;&gt;N21),INDEX(H21:H70,$N29),NA())</f>
        <v>#N/A</v>
      </c>
      <c r="S29">
        <f t="shared" si="7"/>
        <v>0</v>
      </c>
      <c r="T29" t="e">
        <f t="shared" si="8"/>
        <v>#N/A</v>
      </c>
      <c r="U29" t="e">
        <f t="shared" si="9"/>
        <v>#N/A</v>
      </c>
      <c r="W29">
        <f t="shared" si="10"/>
        <v>88.94</v>
      </c>
      <c r="X29">
        <f t="shared" si="11"/>
        <v>1</v>
      </c>
      <c r="Z29">
        <f t="shared" si="12"/>
        <v>88.94</v>
      </c>
      <c r="AA29">
        <f t="shared" si="13"/>
        <v>1</v>
      </c>
      <c r="AC29">
        <f t="shared" si="14"/>
        <v>88.94</v>
      </c>
      <c r="AD29">
        <f t="shared" si="15"/>
        <v>1</v>
      </c>
    </row>
    <row r="30" spans="1:30">
      <c r="A30">
        <f>tblCities!A12</f>
        <v>10</v>
      </c>
      <c r="B30" s="152" t="str">
        <f>tblCities!C12</f>
        <v>Chicago</v>
      </c>
      <c r="C30" s="152">
        <f>tblCities!D12</f>
        <v>2</v>
      </c>
      <c r="D30" s="152">
        <f t="shared" si="0"/>
        <v>81.38</v>
      </c>
      <c r="E30" s="152">
        <f t="shared" si="1"/>
        <v>1</v>
      </c>
      <c r="F30" t="b">
        <f t="shared" si="2"/>
        <v>1</v>
      </c>
      <c r="G30" s="153">
        <f t="shared" si="3"/>
        <v>81.38</v>
      </c>
      <c r="H30" s="153">
        <f t="shared" si="4"/>
        <v>1</v>
      </c>
      <c r="J30">
        <f t="shared" si="5"/>
        <v>1.37365426417648</v>
      </c>
      <c r="K30">
        <f t="shared" si="6"/>
        <v>-0.373654264176482</v>
      </c>
      <c r="L30">
        <f>INDEX(tblCities!$H$3:$L$52,iScatter!A30,uxbWorks!$B$25)</f>
        <v>1</v>
      </c>
      <c r="S30">
        <f t="shared" si="7"/>
        <v>0</v>
      </c>
      <c r="T30" t="e">
        <f t="shared" si="8"/>
        <v>#N/A</v>
      </c>
      <c r="U30" t="e">
        <f t="shared" si="9"/>
        <v>#N/A</v>
      </c>
      <c r="W30">
        <f t="shared" si="10"/>
        <v>81.38</v>
      </c>
      <c r="X30">
        <f t="shared" si="11"/>
        <v>1</v>
      </c>
      <c r="Z30">
        <f t="shared" si="12"/>
        <v>81.38</v>
      </c>
      <c r="AA30">
        <f t="shared" si="13"/>
        <v>1</v>
      </c>
      <c r="AC30">
        <f t="shared" si="14"/>
        <v>81.38</v>
      </c>
      <c r="AD30">
        <f t="shared" si="15"/>
        <v>1</v>
      </c>
    </row>
    <row r="31" spans="1:30">
      <c r="A31">
        <f>tblCities!A13</f>
        <v>11</v>
      </c>
      <c r="B31" s="152" t="str">
        <f>tblCities!C13</f>
        <v>Mexico City</v>
      </c>
      <c r="C31" s="152">
        <f>tblCities!D13</f>
        <v>2</v>
      </c>
      <c r="D31" s="152">
        <f t="shared" si="0"/>
        <v>40.86</v>
      </c>
      <c r="E31" s="152">
        <f t="shared" si="1"/>
        <v>3</v>
      </c>
      <c r="F31" t="b">
        <f t="shared" si="2"/>
        <v>1</v>
      </c>
      <c r="G31" s="153">
        <f t="shared" si="3"/>
        <v>40.86</v>
      </c>
      <c r="H31" s="153">
        <f t="shared" si="4"/>
        <v>3</v>
      </c>
      <c r="J31">
        <f t="shared" si="5"/>
        <v>2.20389799968264</v>
      </c>
      <c r="K31">
        <f t="shared" si="6"/>
        <v>0.796102000317359</v>
      </c>
      <c r="L31">
        <f>INDEX(tblCities!$H$3:$L$52,iScatter!A31,uxbWorks!$B$25)</f>
        <v>1</v>
      </c>
      <c r="S31">
        <f t="shared" si="7"/>
        <v>0</v>
      </c>
      <c r="T31" t="e">
        <f t="shared" si="8"/>
        <v>#N/A</v>
      </c>
      <c r="U31" t="e">
        <f t="shared" si="9"/>
        <v>#N/A</v>
      </c>
      <c r="W31">
        <f t="shared" si="10"/>
        <v>40.86</v>
      </c>
      <c r="X31">
        <f t="shared" si="11"/>
        <v>3</v>
      </c>
      <c r="Z31">
        <f t="shared" si="12"/>
        <v>40.86</v>
      </c>
      <c r="AA31">
        <f t="shared" si="13"/>
        <v>3</v>
      </c>
      <c r="AC31">
        <f t="shared" si="14"/>
        <v>40.86</v>
      </c>
      <c r="AD31">
        <f t="shared" si="15"/>
        <v>3</v>
      </c>
    </row>
    <row r="32" spans="1:30">
      <c r="A32">
        <f>tblCities!A14</f>
        <v>12</v>
      </c>
      <c r="B32" s="152" t="str">
        <f>tblCities!C14</f>
        <v>Lima</v>
      </c>
      <c r="C32" s="152">
        <f>tblCities!D14</f>
        <v>2</v>
      </c>
      <c r="D32" s="152">
        <f t="shared" si="0"/>
        <v>67.87</v>
      </c>
      <c r="E32" s="152">
        <f t="shared" si="1"/>
        <v>1</v>
      </c>
      <c r="F32" t="b">
        <f t="shared" si="2"/>
        <v>1</v>
      </c>
      <c r="G32" s="153">
        <f t="shared" si="3"/>
        <v>67.87</v>
      </c>
      <c r="H32" s="153">
        <f t="shared" si="4"/>
        <v>1</v>
      </c>
      <c r="J32">
        <f t="shared" si="5"/>
        <v>1.65047047510166</v>
      </c>
      <c r="K32">
        <f t="shared" si="6"/>
        <v>-0.65047047510166</v>
      </c>
      <c r="L32">
        <f>INDEX(tblCities!$H$3:$L$52,iScatter!A32,uxbWorks!$B$25)</f>
        <v>1</v>
      </c>
      <c r="S32">
        <f t="shared" si="7"/>
        <v>0</v>
      </c>
      <c r="T32" t="e">
        <f t="shared" si="8"/>
        <v>#N/A</v>
      </c>
      <c r="U32" t="e">
        <f t="shared" si="9"/>
        <v>#N/A</v>
      </c>
      <c r="W32">
        <f t="shared" si="10"/>
        <v>67.87</v>
      </c>
      <c r="X32">
        <f t="shared" si="11"/>
        <v>1</v>
      </c>
      <c r="Z32">
        <f t="shared" si="12"/>
        <v>67.87</v>
      </c>
      <c r="AA32">
        <f t="shared" si="13"/>
        <v>1</v>
      </c>
      <c r="AC32">
        <f t="shared" si="14"/>
        <v>67.87</v>
      </c>
      <c r="AD32">
        <f t="shared" si="15"/>
        <v>1</v>
      </c>
    </row>
    <row r="33" spans="1:30">
      <c r="A33">
        <f>tblCities!A15</f>
        <v>13</v>
      </c>
      <c r="B33" s="152" t="str">
        <f>tblCities!C15</f>
        <v>Santiago</v>
      </c>
      <c r="C33" s="152">
        <f>tblCities!D15</f>
        <v>2</v>
      </c>
      <c r="D33" s="152">
        <f t="shared" si="0"/>
        <v>86.66</v>
      </c>
      <c r="E33" s="152">
        <f t="shared" si="1"/>
        <v>1</v>
      </c>
      <c r="F33" t="b">
        <f t="shared" si="2"/>
        <v>1</v>
      </c>
      <c r="G33" s="153">
        <f t="shared" si="3"/>
        <v>86.66</v>
      </c>
      <c r="H33" s="153">
        <f t="shared" si="4"/>
        <v>1</v>
      </c>
      <c r="J33">
        <f t="shared" si="5"/>
        <v>1.26546850594666</v>
      </c>
      <c r="K33">
        <f t="shared" si="6"/>
        <v>-0.265468505946657</v>
      </c>
      <c r="L33">
        <f>INDEX(tblCities!$H$3:$L$52,iScatter!A33,uxbWorks!$B$25)</f>
        <v>1</v>
      </c>
      <c r="S33">
        <f t="shared" si="7"/>
        <v>0</v>
      </c>
      <c r="T33" t="e">
        <f t="shared" si="8"/>
        <v>#N/A</v>
      </c>
      <c r="U33" t="e">
        <f t="shared" si="9"/>
        <v>#N/A</v>
      </c>
      <c r="W33">
        <f t="shared" si="10"/>
        <v>86.66</v>
      </c>
      <c r="X33">
        <f t="shared" si="11"/>
        <v>1</v>
      </c>
      <c r="Z33">
        <f t="shared" si="12"/>
        <v>86.66</v>
      </c>
      <c r="AA33">
        <f t="shared" si="13"/>
        <v>1</v>
      </c>
      <c r="AC33">
        <f t="shared" si="14"/>
        <v>86.66</v>
      </c>
      <c r="AD33">
        <f t="shared" si="15"/>
        <v>1</v>
      </c>
    </row>
    <row r="34" spans="1:30">
      <c r="A34">
        <f>tblCities!A16</f>
        <v>14</v>
      </c>
      <c r="B34" s="152" t="str">
        <f>tblCities!C16</f>
        <v>New York</v>
      </c>
      <c r="C34" s="152">
        <f>tblCities!D16</f>
        <v>2</v>
      </c>
      <c r="D34" s="152">
        <f t="shared" si="0"/>
        <v>79.86</v>
      </c>
      <c r="E34" s="152">
        <f t="shared" si="1"/>
        <v>1</v>
      </c>
      <c r="F34" t="b">
        <f t="shared" si="2"/>
        <v>1</v>
      </c>
      <c r="G34" s="153">
        <f t="shared" si="3"/>
        <v>79.86</v>
      </c>
      <c r="H34" s="153">
        <f t="shared" si="4"/>
        <v>1</v>
      </c>
      <c r="J34">
        <f t="shared" si="5"/>
        <v>1.40479864912143</v>
      </c>
      <c r="K34">
        <f t="shared" si="6"/>
        <v>-0.404798649121432</v>
      </c>
      <c r="L34">
        <f>INDEX(tblCities!$H$3:$L$52,iScatter!A34,uxbWorks!$B$25)</f>
        <v>1</v>
      </c>
      <c r="S34">
        <f t="shared" si="7"/>
        <v>0</v>
      </c>
      <c r="T34" t="e">
        <f t="shared" si="8"/>
        <v>#N/A</v>
      </c>
      <c r="U34" t="e">
        <f t="shared" si="9"/>
        <v>#N/A</v>
      </c>
      <c r="W34">
        <f t="shared" si="10"/>
        <v>79.86</v>
      </c>
      <c r="X34">
        <f t="shared" si="11"/>
        <v>1</v>
      </c>
      <c r="Z34">
        <f t="shared" si="12"/>
        <v>79.86</v>
      </c>
      <c r="AA34">
        <f t="shared" si="13"/>
        <v>1</v>
      </c>
      <c r="AC34">
        <f t="shared" si="14"/>
        <v>79.86</v>
      </c>
      <c r="AD34">
        <f t="shared" si="15"/>
        <v>1</v>
      </c>
    </row>
    <row r="35" spans="1:30">
      <c r="A35">
        <f>tblCities!A17</f>
        <v>15</v>
      </c>
      <c r="B35" s="152" t="str">
        <f>tblCities!C17</f>
        <v>Washington DC</v>
      </c>
      <c r="C35" s="152">
        <f>tblCities!D17</f>
        <v>2</v>
      </c>
      <c r="D35" s="152">
        <f t="shared" si="0"/>
        <v>64.01</v>
      </c>
      <c r="E35" s="152">
        <f t="shared" si="1"/>
        <v>1</v>
      </c>
      <c r="F35" t="b">
        <f t="shared" si="2"/>
        <v>1</v>
      </c>
      <c r="G35" s="153">
        <f t="shared" si="3"/>
        <v>64.01</v>
      </c>
      <c r="H35" s="153">
        <f t="shared" si="4"/>
        <v>1</v>
      </c>
      <c r="J35">
        <f t="shared" si="5"/>
        <v>1.72956082108028</v>
      </c>
      <c r="K35">
        <f t="shared" si="6"/>
        <v>-0.729560821080282</v>
      </c>
      <c r="L35">
        <f>INDEX(tblCities!$H$3:$L$52,iScatter!A35,uxbWorks!$B$25)</f>
        <v>1</v>
      </c>
      <c r="S35">
        <f t="shared" si="7"/>
        <v>0</v>
      </c>
      <c r="T35" t="e">
        <f t="shared" si="8"/>
        <v>#N/A</v>
      </c>
      <c r="U35" t="e">
        <f t="shared" si="9"/>
        <v>#N/A</v>
      </c>
      <c r="W35">
        <f t="shared" si="10"/>
        <v>64.01</v>
      </c>
      <c r="X35">
        <f t="shared" si="11"/>
        <v>1</v>
      </c>
      <c r="Z35">
        <f t="shared" si="12"/>
        <v>64.01</v>
      </c>
      <c r="AA35">
        <f t="shared" si="13"/>
        <v>1</v>
      </c>
      <c r="AC35">
        <f t="shared" si="14"/>
        <v>64.01</v>
      </c>
      <c r="AD35">
        <f t="shared" si="15"/>
        <v>1</v>
      </c>
    </row>
    <row r="36" spans="1:30">
      <c r="A36">
        <f>tblCities!A18</f>
        <v>16</v>
      </c>
      <c r="B36" s="152" t="str">
        <f>tblCities!C18</f>
        <v>Sydney</v>
      </c>
      <c r="C36" s="152">
        <f>tblCities!D18</f>
        <v>2</v>
      </c>
      <c r="D36" s="152">
        <f t="shared" si="0"/>
        <v>87.3</v>
      </c>
      <c r="E36" s="152">
        <f t="shared" si="1"/>
        <v>1</v>
      </c>
      <c r="F36" t="b">
        <f t="shared" si="2"/>
        <v>1</v>
      </c>
      <c r="G36" s="153">
        <f t="shared" si="3"/>
        <v>87.3</v>
      </c>
      <c r="H36" s="153">
        <f t="shared" si="4"/>
        <v>1</v>
      </c>
      <c r="J36">
        <f t="shared" si="5"/>
        <v>1.25235508070668</v>
      </c>
      <c r="K36">
        <f t="shared" si="6"/>
        <v>-0.252355080706678</v>
      </c>
      <c r="L36">
        <f>INDEX(tblCities!$H$3:$L$52,iScatter!A36,uxbWorks!$B$25)</f>
        <v>1</v>
      </c>
      <c r="S36">
        <f t="shared" si="7"/>
        <v>0</v>
      </c>
      <c r="T36" t="e">
        <f t="shared" si="8"/>
        <v>#N/A</v>
      </c>
      <c r="U36" t="e">
        <f t="shared" si="9"/>
        <v>#N/A</v>
      </c>
      <c r="W36">
        <f t="shared" si="10"/>
        <v>87.3</v>
      </c>
      <c r="X36">
        <f t="shared" si="11"/>
        <v>1</v>
      </c>
      <c r="Z36">
        <f t="shared" si="12"/>
        <v>87.3</v>
      </c>
      <c r="AA36">
        <f t="shared" si="13"/>
        <v>1</v>
      </c>
      <c r="AC36">
        <f t="shared" si="14"/>
        <v>87.3</v>
      </c>
      <c r="AD36">
        <f t="shared" si="15"/>
        <v>1</v>
      </c>
    </row>
    <row r="37" spans="1:30">
      <c r="A37">
        <f>tblCities!A19</f>
        <v>17</v>
      </c>
      <c r="B37" s="152" t="str">
        <f>tblCities!C19</f>
        <v>Melbourne</v>
      </c>
      <c r="C37" s="152">
        <f>tblCities!D19</f>
        <v>2</v>
      </c>
      <c r="D37" s="152">
        <f t="shared" si="0"/>
        <v>89.06</v>
      </c>
      <c r="E37" s="152">
        <f t="shared" si="1"/>
        <v>1</v>
      </c>
      <c r="F37" t="b">
        <f t="shared" si="2"/>
        <v>1</v>
      </c>
      <c r="G37" s="153">
        <f t="shared" si="3"/>
        <v>89.06</v>
      </c>
      <c r="H37" s="153">
        <f t="shared" si="4"/>
        <v>1</v>
      </c>
      <c r="J37">
        <f t="shared" si="5"/>
        <v>1.21629316129674</v>
      </c>
      <c r="K37">
        <f t="shared" si="6"/>
        <v>-0.216293161296736</v>
      </c>
      <c r="L37">
        <f>INDEX(tblCities!$H$3:$L$52,iScatter!A37,uxbWorks!$B$25)</f>
        <v>1</v>
      </c>
      <c r="S37">
        <f t="shared" si="7"/>
        <v>0</v>
      </c>
      <c r="T37" t="e">
        <f t="shared" si="8"/>
        <v>#N/A</v>
      </c>
      <c r="U37" t="e">
        <f t="shared" si="9"/>
        <v>#N/A</v>
      </c>
      <c r="W37">
        <f t="shared" si="10"/>
        <v>89.06</v>
      </c>
      <c r="X37">
        <f t="shared" si="11"/>
        <v>1</v>
      </c>
      <c r="Z37">
        <f t="shared" si="12"/>
        <v>89.06</v>
      </c>
      <c r="AA37">
        <f t="shared" si="13"/>
        <v>1</v>
      </c>
      <c r="AC37">
        <f t="shared" si="14"/>
        <v>89.06</v>
      </c>
      <c r="AD37">
        <f t="shared" si="15"/>
        <v>1</v>
      </c>
    </row>
    <row r="38" spans="1:30">
      <c r="A38">
        <f>tblCities!A20</f>
        <v>18</v>
      </c>
      <c r="B38" s="152" t="str">
        <f>tblCities!C20</f>
        <v>Hong Kong</v>
      </c>
      <c r="C38" s="152">
        <f>tblCities!D20</f>
        <v>2</v>
      </c>
      <c r="D38" s="152">
        <f t="shared" si="0"/>
        <v>62.92</v>
      </c>
      <c r="E38" s="152">
        <f t="shared" si="1"/>
        <v>1</v>
      </c>
      <c r="F38" t="b">
        <f t="shared" si="2"/>
        <v>1</v>
      </c>
      <c r="G38" s="153">
        <f t="shared" si="3"/>
        <v>62.92</v>
      </c>
      <c r="H38" s="153">
        <f t="shared" si="4"/>
        <v>1</v>
      </c>
      <c r="J38">
        <f t="shared" si="5"/>
        <v>1.75189462344212</v>
      </c>
      <c r="K38">
        <f t="shared" si="6"/>
        <v>-0.751894623442121</v>
      </c>
      <c r="L38">
        <f>INDEX(tblCities!$H$3:$L$52,iScatter!A38,uxbWorks!$B$25)</f>
        <v>1</v>
      </c>
      <c r="S38">
        <f t="shared" si="7"/>
        <v>0</v>
      </c>
      <c r="T38" t="e">
        <f t="shared" si="8"/>
        <v>#N/A</v>
      </c>
      <c r="U38" t="e">
        <f t="shared" si="9"/>
        <v>#N/A</v>
      </c>
      <c r="W38">
        <f t="shared" si="10"/>
        <v>62.92</v>
      </c>
      <c r="X38">
        <f t="shared" si="11"/>
        <v>1</v>
      </c>
      <c r="Z38">
        <f t="shared" si="12"/>
        <v>62.92</v>
      </c>
      <c r="AA38">
        <f t="shared" si="13"/>
        <v>1</v>
      </c>
      <c r="AC38">
        <f t="shared" si="14"/>
        <v>62.92</v>
      </c>
      <c r="AD38">
        <f t="shared" si="15"/>
        <v>1</v>
      </c>
    </row>
    <row r="39" spans="1:30">
      <c r="A39">
        <f>tblCities!A21</f>
        <v>19</v>
      </c>
      <c r="B39" s="152" t="str">
        <f>tblCities!C21</f>
        <v>Beijing </v>
      </c>
      <c r="C39" s="152">
        <f>tblCities!D21</f>
        <v>2</v>
      </c>
      <c r="D39" s="152">
        <f t="shared" si="0"/>
        <v>79.57</v>
      </c>
      <c r="E39" s="152">
        <f t="shared" si="1"/>
        <v>1</v>
      </c>
      <c r="F39" t="b">
        <f t="shared" si="2"/>
        <v>1</v>
      </c>
      <c r="G39" s="153">
        <f t="shared" si="3"/>
        <v>79.57</v>
      </c>
      <c r="H39" s="153">
        <f t="shared" si="4"/>
        <v>1</v>
      </c>
      <c r="J39">
        <f t="shared" si="5"/>
        <v>1.4107406699333</v>
      </c>
      <c r="K39">
        <f t="shared" si="6"/>
        <v>-0.410740669933298</v>
      </c>
      <c r="L39">
        <f>INDEX(tblCities!$H$3:$L$52,iScatter!A39,uxbWorks!$B$25)</f>
        <v>1</v>
      </c>
      <c r="S39">
        <f t="shared" si="7"/>
        <v>0</v>
      </c>
      <c r="T39" t="e">
        <f t="shared" si="8"/>
        <v>#N/A</v>
      </c>
      <c r="U39" t="e">
        <f t="shared" si="9"/>
        <v>#N/A</v>
      </c>
      <c r="W39">
        <f t="shared" si="10"/>
        <v>79.57</v>
      </c>
      <c r="X39">
        <f t="shared" si="11"/>
        <v>1</v>
      </c>
      <c r="Z39">
        <f t="shared" si="12"/>
        <v>79.57</v>
      </c>
      <c r="AA39">
        <f t="shared" si="13"/>
        <v>1</v>
      </c>
      <c r="AC39">
        <f t="shared" si="14"/>
        <v>79.57</v>
      </c>
      <c r="AD39">
        <f t="shared" si="15"/>
        <v>1</v>
      </c>
    </row>
    <row r="40" spans="1:30">
      <c r="A40">
        <f>tblCities!A22</f>
        <v>20</v>
      </c>
      <c r="B40" s="152" t="str">
        <f>tblCities!C22</f>
        <v>Shanghai</v>
      </c>
      <c r="C40" s="152">
        <f>tblCities!D22</f>
        <v>2</v>
      </c>
      <c r="D40" s="152">
        <f t="shared" si="0"/>
        <v>79.76</v>
      </c>
      <c r="E40" s="152">
        <f t="shared" si="1"/>
        <v>1</v>
      </c>
      <c r="F40" t="b">
        <f t="shared" si="2"/>
        <v>1</v>
      </c>
      <c r="G40" s="153">
        <f t="shared" si="3"/>
        <v>79.76</v>
      </c>
      <c r="H40" s="153">
        <f t="shared" si="4"/>
        <v>1</v>
      </c>
      <c r="J40">
        <f t="shared" si="5"/>
        <v>1.40684762181518</v>
      </c>
      <c r="K40">
        <f t="shared" si="6"/>
        <v>-0.406847621815179</v>
      </c>
      <c r="L40">
        <f>INDEX(tblCities!$H$3:$L$52,iScatter!A40,uxbWorks!$B$25)</f>
        <v>1</v>
      </c>
      <c r="S40">
        <f t="shared" si="7"/>
        <v>0</v>
      </c>
      <c r="T40" t="e">
        <f t="shared" si="8"/>
        <v>#N/A</v>
      </c>
      <c r="U40" t="e">
        <f t="shared" si="9"/>
        <v>#N/A</v>
      </c>
      <c r="W40">
        <f t="shared" si="10"/>
        <v>79.76</v>
      </c>
      <c r="X40">
        <f t="shared" si="11"/>
        <v>1</v>
      </c>
      <c r="Z40">
        <f t="shared" si="12"/>
        <v>79.76</v>
      </c>
      <c r="AA40">
        <f t="shared" si="13"/>
        <v>1</v>
      </c>
      <c r="AC40">
        <f t="shared" si="14"/>
        <v>79.76</v>
      </c>
      <c r="AD40">
        <f t="shared" si="15"/>
        <v>1</v>
      </c>
    </row>
    <row r="41" spans="1:30">
      <c r="A41">
        <f>tblCities!A23</f>
        <v>21</v>
      </c>
      <c r="B41" s="152" t="str">
        <f>tblCities!C23</f>
        <v>Shenzhen</v>
      </c>
      <c r="C41" s="152">
        <f>tblCities!D23</f>
        <v>2</v>
      </c>
      <c r="D41" s="152">
        <f t="shared" si="0"/>
        <v>79.49</v>
      </c>
      <c r="E41" s="152">
        <f t="shared" si="1"/>
        <v>1</v>
      </c>
      <c r="F41" t="b">
        <f t="shared" si="2"/>
        <v>1</v>
      </c>
      <c r="G41" s="153">
        <f t="shared" si="3"/>
        <v>79.49</v>
      </c>
      <c r="H41" s="153">
        <f t="shared" si="4"/>
        <v>1</v>
      </c>
      <c r="J41">
        <f t="shared" si="5"/>
        <v>1.41237984808829</v>
      </c>
      <c r="K41">
        <f t="shared" si="6"/>
        <v>-0.412379848088295</v>
      </c>
      <c r="L41">
        <f>INDEX(tblCities!$H$3:$L$52,iScatter!A41,uxbWorks!$B$25)</f>
        <v>1</v>
      </c>
      <c r="S41">
        <f t="shared" si="7"/>
        <v>0</v>
      </c>
      <c r="T41" t="e">
        <f t="shared" si="8"/>
        <v>#N/A</v>
      </c>
      <c r="U41" t="e">
        <f t="shared" si="9"/>
        <v>#N/A</v>
      </c>
      <c r="W41">
        <f t="shared" si="10"/>
        <v>79.49</v>
      </c>
      <c r="X41">
        <f t="shared" si="11"/>
        <v>1</v>
      </c>
      <c r="Z41">
        <f t="shared" si="12"/>
        <v>79.49</v>
      </c>
      <c r="AA41">
        <f t="shared" si="13"/>
        <v>1</v>
      </c>
      <c r="AC41">
        <f t="shared" si="14"/>
        <v>79.49</v>
      </c>
      <c r="AD41">
        <f t="shared" si="15"/>
        <v>1</v>
      </c>
    </row>
    <row r="42" spans="1:30">
      <c r="A42">
        <f>tblCities!A24</f>
        <v>22</v>
      </c>
      <c r="B42" s="152" t="str">
        <f>tblCities!C24</f>
        <v>Guangzhou</v>
      </c>
      <c r="C42" s="152">
        <f>tblCities!D24</f>
        <v>2</v>
      </c>
      <c r="D42" s="152">
        <f t="shared" si="0"/>
        <v>79.63</v>
      </c>
      <c r="E42" s="152">
        <f t="shared" si="1"/>
        <v>2</v>
      </c>
      <c r="F42" t="b">
        <f t="shared" si="2"/>
        <v>1</v>
      </c>
      <c r="G42" s="153">
        <f t="shared" si="3"/>
        <v>79.63</v>
      </c>
      <c r="H42" s="153">
        <f t="shared" si="4"/>
        <v>2</v>
      </c>
      <c r="J42">
        <f t="shared" si="5"/>
        <v>1.40951128631705</v>
      </c>
      <c r="K42">
        <f t="shared" si="6"/>
        <v>0.59048871368295</v>
      </c>
      <c r="L42">
        <f>INDEX(tblCities!$H$3:$L$52,iScatter!A42,uxbWorks!$B$25)</f>
        <v>1</v>
      </c>
      <c r="S42">
        <f t="shared" si="7"/>
        <v>0</v>
      </c>
      <c r="T42" t="e">
        <f t="shared" si="8"/>
        <v>#N/A</v>
      </c>
      <c r="U42" t="e">
        <f t="shared" si="9"/>
        <v>#N/A</v>
      </c>
      <c r="W42">
        <f t="shared" si="10"/>
        <v>79.63</v>
      </c>
      <c r="X42">
        <f t="shared" si="11"/>
        <v>2</v>
      </c>
      <c r="Z42">
        <f t="shared" si="12"/>
        <v>79.63</v>
      </c>
      <c r="AA42">
        <f t="shared" si="13"/>
        <v>2</v>
      </c>
      <c r="AC42">
        <f t="shared" si="14"/>
        <v>79.63</v>
      </c>
      <c r="AD42">
        <f t="shared" si="15"/>
        <v>2</v>
      </c>
    </row>
    <row r="43" spans="1:30">
      <c r="A43">
        <f>tblCities!A25</f>
        <v>23</v>
      </c>
      <c r="B43" s="152" t="str">
        <f>tblCities!C25</f>
        <v>Tianjin</v>
      </c>
      <c r="C43" s="152">
        <f>tblCities!D25</f>
        <v>2</v>
      </c>
      <c r="D43" s="152">
        <f t="shared" si="0"/>
        <v>79.56</v>
      </c>
      <c r="E43" s="152">
        <f t="shared" si="1"/>
        <v>1</v>
      </c>
      <c r="F43" t="b">
        <f t="shared" si="2"/>
        <v>1</v>
      </c>
      <c r="G43" s="153">
        <f t="shared" si="3"/>
        <v>79.56</v>
      </c>
      <c r="H43" s="153">
        <f t="shared" si="4"/>
        <v>1</v>
      </c>
      <c r="J43">
        <f t="shared" si="5"/>
        <v>1.41094556720267</v>
      </c>
      <c r="K43">
        <f t="shared" si="6"/>
        <v>-0.410945567202672</v>
      </c>
      <c r="L43">
        <f>INDEX(tblCities!$H$3:$L$52,iScatter!A43,uxbWorks!$B$25)</f>
        <v>1</v>
      </c>
      <c r="S43">
        <f t="shared" si="7"/>
        <v>0</v>
      </c>
      <c r="T43" t="e">
        <f t="shared" si="8"/>
        <v>#N/A</v>
      </c>
      <c r="U43" t="e">
        <f t="shared" si="9"/>
        <v>#N/A</v>
      </c>
      <c r="W43">
        <f t="shared" si="10"/>
        <v>79.56</v>
      </c>
      <c r="X43">
        <f t="shared" si="11"/>
        <v>1</v>
      </c>
      <c r="Z43">
        <f t="shared" si="12"/>
        <v>79.56</v>
      </c>
      <c r="AA43">
        <f t="shared" si="13"/>
        <v>1</v>
      </c>
      <c r="AC43">
        <f t="shared" si="14"/>
        <v>79.56</v>
      </c>
      <c r="AD43">
        <f t="shared" si="15"/>
        <v>1</v>
      </c>
    </row>
    <row r="44" spans="1:30">
      <c r="A44">
        <f>tblCities!A26</f>
        <v>24</v>
      </c>
      <c r="B44" s="152" t="str">
        <f>tblCities!C26</f>
        <v>Mumbai</v>
      </c>
      <c r="C44" s="152">
        <f>tblCities!D26</f>
        <v>2</v>
      </c>
      <c r="D44" s="152">
        <f t="shared" si="0"/>
        <v>79.28</v>
      </c>
      <c r="E44" s="152">
        <f t="shared" si="1"/>
        <v>2</v>
      </c>
      <c r="F44" t="b">
        <f t="shared" si="2"/>
        <v>1</v>
      </c>
      <c r="G44" s="153">
        <f t="shared" si="3"/>
        <v>79.28</v>
      </c>
      <c r="H44" s="153">
        <f t="shared" si="4"/>
        <v>2</v>
      </c>
      <c r="J44">
        <f t="shared" si="5"/>
        <v>1.41668269074516</v>
      </c>
      <c r="K44">
        <f t="shared" si="6"/>
        <v>0.583317309254837</v>
      </c>
      <c r="L44">
        <f>INDEX(tblCities!$H$3:$L$52,iScatter!A44,uxbWorks!$B$25)</f>
        <v>1</v>
      </c>
      <c r="S44">
        <f t="shared" si="7"/>
        <v>0</v>
      </c>
      <c r="T44" t="e">
        <f t="shared" si="8"/>
        <v>#N/A</v>
      </c>
      <c r="U44" t="e">
        <f t="shared" si="9"/>
        <v>#N/A</v>
      </c>
      <c r="W44">
        <f t="shared" si="10"/>
        <v>79.28</v>
      </c>
      <c r="X44">
        <f t="shared" si="11"/>
        <v>2</v>
      </c>
      <c r="Z44">
        <f t="shared" si="12"/>
        <v>79.28</v>
      </c>
      <c r="AA44">
        <f t="shared" si="13"/>
        <v>2</v>
      </c>
      <c r="AC44">
        <f t="shared" si="14"/>
        <v>79.28</v>
      </c>
      <c r="AD44">
        <f t="shared" si="15"/>
        <v>2</v>
      </c>
    </row>
    <row r="45" spans="1:30">
      <c r="A45">
        <f>tblCities!A27</f>
        <v>25</v>
      </c>
      <c r="B45" s="152" t="str">
        <f>tblCities!C27</f>
        <v>Delhi</v>
      </c>
      <c r="C45" s="152">
        <f>tblCities!D27</f>
        <v>2</v>
      </c>
      <c r="D45" s="152">
        <f t="shared" si="0"/>
        <v>77.92</v>
      </c>
      <c r="E45" s="152">
        <f t="shared" si="1"/>
        <v>3</v>
      </c>
      <c r="F45" t="b">
        <f t="shared" ref="F45:F70" si="16">AND(ISNUMBER(D45),ISNUMBER(E45))</f>
        <v>1</v>
      </c>
      <c r="G45" s="153">
        <f t="shared" si="3"/>
        <v>77.92</v>
      </c>
      <c r="H45" s="153">
        <f t="shared" si="4"/>
        <v>3</v>
      </c>
      <c r="J45">
        <f t="shared" ref="J45:J70" si="17">IF(G45="","",(G45*$B$14)+$B$15)</f>
        <v>1.44454871938012</v>
      </c>
      <c r="K45">
        <f t="shared" ref="K45:K70" si="18">IF(J45="","",H45-J45)</f>
        <v>1.55545128061988</v>
      </c>
      <c r="L45">
        <f>INDEX(tblCities!$H$3:$L$52,iScatter!A45,uxbWorks!$B$25)</f>
        <v>1</v>
      </c>
      <c r="S45">
        <f t="shared" ref="S45:S70" si="19">IF(NOT($B$5),0,IF(OR(A45=$N$21,A45=$N$25,A45=$N$29),0,IF(C45=3,0,1)))</f>
        <v>0</v>
      </c>
      <c r="T45" t="e">
        <f t="shared" si="8"/>
        <v>#N/A</v>
      </c>
      <c r="U45" t="e">
        <f t="shared" si="9"/>
        <v>#N/A</v>
      </c>
      <c r="W45">
        <f t="shared" si="10"/>
        <v>77.92</v>
      </c>
      <c r="X45">
        <f t="shared" si="11"/>
        <v>3</v>
      </c>
      <c r="Z45">
        <f t="shared" si="12"/>
        <v>77.92</v>
      </c>
      <c r="AA45">
        <f t="shared" si="13"/>
        <v>3</v>
      </c>
      <c r="AC45">
        <f t="shared" si="14"/>
        <v>77.92</v>
      </c>
      <c r="AD45">
        <f t="shared" si="15"/>
        <v>3</v>
      </c>
    </row>
    <row r="46" spans="1:30">
      <c r="A46">
        <f>tblCities!A28</f>
        <v>26</v>
      </c>
      <c r="B46" s="152" t="str">
        <f>tblCities!C28</f>
        <v>Jakarta</v>
      </c>
      <c r="C46" s="152">
        <f>tblCities!D28</f>
        <v>2</v>
      </c>
      <c r="D46" s="152">
        <f t="shared" si="0"/>
        <v>58.04</v>
      </c>
      <c r="E46" s="152">
        <f t="shared" si="1"/>
        <v>3</v>
      </c>
      <c r="F46" t="b">
        <f t="shared" si="16"/>
        <v>1</v>
      </c>
      <c r="G46" s="153">
        <f t="shared" si="3"/>
        <v>58.04</v>
      </c>
      <c r="H46" s="153">
        <f t="shared" si="4"/>
        <v>3</v>
      </c>
      <c r="J46">
        <f t="shared" si="17"/>
        <v>1.85188449089696</v>
      </c>
      <c r="K46">
        <f t="shared" si="18"/>
        <v>1.14811550910304</v>
      </c>
      <c r="L46">
        <f>INDEX(tblCities!$H$3:$L$52,iScatter!A46,uxbWorks!$B$25)</f>
        <v>1</v>
      </c>
      <c r="S46">
        <f t="shared" si="19"/>
        <v>0</v>
      </c>
      <c r="T46" t="e">
        <f t="shared" si="8"/>
        <v>#N/A</v>
      </c>
      <c r="U46" t="e">
        <f t="shared" si="9"/>
        <v>#N/A</v>
      </c>
      <c r="W46">
        <f t="shared" si="10"/>
        <v>58.04</v>
      </c>
      <c r="X46">
        <f t="shared" si="11"/>
        <v>3</v>
      </c>
      <c r="Z46">
        <f t="shared" si="12"/>
        <v>58.04</v>
      </c>
      <c r="AA46">
        <f t="shared" si="13"/>
        <v>3</v>
      </c>
      <c r="AC46">
        <f t="shared" si="14"/>
        <v>58.04</v>
      </c>
      <c r="AD46">
        <f t="shared" si="15"/>
        <v>3</v>
      </c>
    </row>
    <row r="47" spans="1:30">
      <c r="A47">
        <f>tblCities!A29</f>
        <v>27</v>
      </c>
      <c r="B47" s="152" t="str">
        <f>tblCities!C29</f>
        <v>Tehran</v>
      </c>
      <c r="C47" s="152">
        <f>tblCities!D29</f>
        <v>2</v>
      </c>
      <c r="D47" s="152">
        <f t="shared" si="0"/>
        <v>84.46</v>
      </c>
      <c r="E47" s="152">
        <f t="shared" si="1"/>
        <v>4</v>
      </c>
      <c r="F47" t="b">
        <f t="shared" si="16"/>
        <v>1</v>
      </c>
      <c r="G47" s="153">
        <f t="shared" si="3"/>
        <v>84.46</v>
      </c>
      <c r="H47" s="153">
        <f t="shared" si="4"/>
        <v>4</v>
      </c>
      <c r="J47">
        <f t="shared" si="17"/>
        <v>1.31054590520908</v>
      </c>
      <c r="K47">
        <f t="shared" si="18"/>
        <v>2.68945409479092</v>
      </c>
      <c r="L47">
        <f>INDEX(tblCities!$H$3:$L$52,iScatter!A47,uxbWorks!$B$25)</f>
        <v>1</v>
      </c>
      <c r="S47">
        <f t="shared" si="19"/>
        <v>0</v>
      </c>
      <c r="T47" t="e">
        <f t="shared" si="8"/>
        <v>#N/A</v>
      </c>
      <c r="U47" t="e">
        <f t="shared" si="9"/>
        <v>#N/A</v>
      </c>
      <c r="W47">
        <f t="shared" si="10"/>
        <v>84.46</v>
      </c>
      <c r="X47">
        <f t="shared" si="11"/>
        <v>4</v>
      </c>
      <c r="Z47">
        <f t="shared" si="12"/>
        <v>84.46</v>
      </c>
      <c r="AA47">
        <f t="shared" si="13"/>
        <v>4</v>
      </c>
      <c r="AC47">
        <f t="shared" si="14"/>
        <v>84.46</v>
      </c>
      <c r="AD47">
        <f t="shared" si="15"/>
        <v>4</v>
      </c>
    </row>
    <row r="48" spans="1:30">
      <c r="A48">
        <f>tblCities!A30</f>
        <v>28</v>
      </c>
      <c r="B48" s="152" t="str">
        <f>tblCities!C30</f>
        <v>Tokyo</v>
      </c>
      <c r="C48" s="152">
        <f>tblCities!D30</f>
        <v>2</v>
      </c>
      <c r="D48" s="152">
        <f t="shared" si="0"/>
        <v>84.08</v>
      </c>
      <c r="E48" s="152">
        <f t="shared" si="1"/>
        <v>1</v>
      </c>
      <c r="F48" t="b">
        <f t="shared" si="16"/>
        <v>1</v>
      </c>
      <c r="G48" s="153">
        <f t="shared" si="3"/>
        <v>84.08</v>
      </c>
      <c r="H48" s="153">
        <f t="shared" si="4"/>
        <v>1</v>
      </c>
      <c r="J48">
        <f t="shared" si="17"/>
        <v>1.31833200144532</v>
      </c>
      <c r="K48">
        <f t="shared" si="18"/>
        <v>-0.318332001445322</v>
      </c>
      <c r="L48">
        <f>INDEX(tblCities!$H$3:$L$52,iScatter!A48,uxbWorks!$B$25)</f>
        <v>1</v>
      </c>
      <c r="S48">
        <f t="shared" si="19"/>
        <v>0</v>
      </c>
      <c r="T48" t="e">
        <f t="shared" si="8"/>
        <v>#N/A</v>
      </c>
      <c r="U48" t="e">
        <f t="shared" si="9"/>
        <v>#N/A</v>
      </c>
      <c r="W48">
        <f t="shared" si="10"/>
        <v>84.08</v>
      </c>
      <c r="X48">
        <f t="shared" si="11"/>
        <v>1</v>
      </c>
      <c r="Z48">
        <f t="shared" si="12"/>
        <v>84.08</v>
      </c>
      <c r="AA48">
        <f t="shared" si="13"/>
        <v>1</v>
      </c>
      <c r="AC48">
        <f t="shared" si="14"/>
        <v>84.08</v>
      </c>
      <c r="AD48">
        <f t="shared" si="15"/>
        <v>1</v>
      </c>
    </row>
    <row r="49" spans="1:30">
      <c r="A49">
        <f>tblCities!A31</f>
        <v>29</v>
      </c>
      <c r="B49" s="152" t="str">
        <f>tblCities!C31</f>
        <v>Osaka</v>
      </c>
      <c r="C49" s="152">
        <f>tblCities!D31</f>
        <v>2</v>
      </c>
      <c r="D49" s="152">
        <f t="shared" si="0"/>
        <v>75.92</v>
      </c>
      <c r="E49" s="152">
        <f t="shared" si="1"/>
        <v>1</v>
      </c>
      <c r="F49" t="b">
        <f t="shared" si="16"/>
        <v>1</v>
      </c>
      <c r="G49" s="153">
        <f t="shared" si="3"/>
        <v>75.92</v>
      </c>
      <c r="H49" s="153">
        <f t="shared" si="4"/>
        <v>1</v>
      </c>
      <c r="J49">
        <f t="shared" si="17"/>
        <v>1.48552817325505</v>
      </c>
      <c r="K49">
        <f t="shared" si="18"/>
        <v>-0.485528173255052</v>
      </c>
      <c r="L49">
        <f>INDEX(tblCities!$H$3:$L$52,iScatter!A49,uxbWorks!$B$25)</f>
        <v>1</v>
      </c>
      <c r="S49">
        <f t="shared" si="19"/>
        <v>0</v>
      </c>
      <c r="T49" t="e">
        <f t="shared" si="8"/>
        <v>#N/A</v>
      </c>
      <c r="U49" t="e">
        <f t="shared" si="9"/>
        <v>#N/A</v>
      </c>
      <c r="W49">
        <f t="shared" si="10"/>
        <v>75.92</v>
      </c>
      <c r="X49">
        <f t="shared" si="11"/>
        <v>1</v>
      </c>
      <c r="Z49">
        <f t="shared" si="12"/>
        <v>75.92</v>
      </c>
      <c r="AA49">
        <f t="shared" si="13"/>
        <v>1</v>
      </c>
      <c r="AC49">
        <f t="shared" si="14"/>
        <v>75.92</v>
      </c>
      <c r="AD49">
        <f t="shared" si="15"/>
        <v>1</v>
      </c>
    </row>
    <row r="50" spans="1:30">
      <c r="A50">
        <f>tblCities!A32</f>
        <v>30</v>
      </c>
      <c r="B50" s="152" t="str">
        <f>tblCities!C32</f>
        <v>Singapore</v>
      </c>
      <c r="C50" s="152">
        <f>tblCities!D32</f>
        <v>2</v>
      </c>
      <c r="D50" s="152">
        <f t="shared" si="0"/>
        <v>81.21</v>
      </c>
      <c r="E50" s="152">
        <f t="shared" si="1"/>
        <v>1</v>
      </c>
      <c r="F50" t="b">
        <f t="shared" si="16"/>
        <v>1</v>
      </c>
      <c r="G50" s="153">
        <f t="shared" si="3"/>
        <v>81.21</v>
      </c>
      <c r="H50" s="153">
        <f t="shared" si="4"/>
        <v>1</v>
      </c>
      <c r="J50">
        <f t="shared" si="17"/>
        <v>1.37713751775585</v>
      </c>
      <c r="K50">
        <f t="shared" si="18"/>
        <v>-0.377137517755852</v>
      </c>
      <c r="L50">
        <f>INDEX(tblCities!$H$3:$L$52,iScatter!A50,uxbWorks!$B$25)</f>
        <v>1</v>
      </c>
      <c r="S50">
        <f t="shared" si="19"/>
        <v>0</v>
      </c>
      <c r="T50" t="e">
        <f t="shared" si="8"/>
        <v>#N/A</v>
      </c>
      <c r="U50" t="e">
        <f t="shared" si="9"/>
        <v>#N/A</v>
      </c>
      <c r="W50">
        <f t="shared" si="10"/>
        <v>81.21</v>
      </c>
      <c r="X50">
        <f t="shared" si="11"/>
        <v>1</v>
      </c>
      <c r="Z50">
        <f t="shared" si="12"/>
        <v>81.21</v>
      </c>
      <c r="AA50">
        <f t="shared" si="13"/>
        <v>1</v>
      </c>
      <c r="AC50">
        <f t="shared" si="14"/>
        <v>81.21</v>
      </c>
      <c r="AD50">
        <f t="shared" si="15"/>
        <v>1</v>
      </c>
    </row>
    <row r="51" spans="1:30">
      <c r="A51">
        <f>tblCities!A33</f>
        <v>31</v>
      </c>
      <c r="B51" s="152" t="str">
        <f>tblCities!C33</f>
        <v>Seoul</v>
      </c>
      <c r="C51" s="152">
        <f>tblCities!D33</f>
        <v>2</v>
      </c>
      <c r="D51" s="152">
        <f t="shared" si="0"/>
        <v>86.79</v>
      </c>
      <c r="E51" s="152">
        <f t="shared" si="1"/>
        <v>1</v>
      </c>
      <c r="F51" t="b">
        <f t="shared" si="16"/>
        <v>1</v>
      </c>
      <c r="G51" s="153">
        <f t="shared" si="3"/>
        <v>86.79</v>
      </c>
      <c r="H51" s="153">
        <f t="shared" si="4"/>
        <v>1</v>
      </c>
      <c r="J51">
        <f t="shared" si="17"/>
        <v>1.26280484144479</v>
      </c>
      <c r="K51">
        <f t="shared" si="18"/>
        <v>-0.262804841444786</v>
      </c>
      <c r="L51">
        <f>INDEX(tblCities!$H$3:$L$52,iScatter!A51,uxbWorks!$B$25)</f>
        <v>1</v>
      </c>
      <c r="S51">
        <f t="shared" si="19"/>
        <v>0</v>
      </c>
      <c r="T51" t="e">
        <f t="shared" si="8"/>
        <v>#N/A</v>
      </c>
      <c r="U51" t="e">
        <f t="shared" si="9"/>
        <v>#N/A</v>
      </c>
      <c r="W51">
        <f t="shared" si="10"/>
        <v>86.79</v>
      </c>
      <c r="X51">
        <f t="shared" si="11"/>
        <v>1</v>
      </c>
      <c r="Z51">
        <f t="shared" si="12"/>
        <v>86.79</v>
      </c>
      <c r="AA51">
        <f t="shared" si="13"/>
        <v>1</v>
      </c>
      <c r="AC51">
        <f t="shared" si="14"/>
        <v>86.79</v>
      </c>
      <c r="AD51">
        <f t="shared" si="15"/>
        <v>1</v>
      </c>
    </row>
    <row r="52" spans="1:30">
      <c r="A52">
        <f>tblCities!A34</f>
        <v>32</v>
      </c>
      <c r="B52" s="152" t="str">
        <f>tblCities!C34</f>
        <v>Taipei</v>
      </c>
      <c r="C52" s="152">
        <f>tblCities!D34</f>
        <v>2</v>
      </c>
      <c r="D52" s="152">
        <f t="shared" si="0"/>
        <v>93.49</v>
      </c>
      <c r="E52" s="152">
        <f t="shared" si="1"/>
        <v>2</v>
      </c>
      <c r="F52" t="b">
        <f t="shared" si="16"/>
        <v>1</v>
      </c>
      <c r="G52" s="153">
        <f t="shared" si="3"/>
        <v>93.49</v>
      </c>
      <c r="H52" s="153">
        <f t="shared" si="4"/>
        <v>2</v>
      </c>
      <c r="J52">
        <f t="shared" si="17"/>
        <v>1.12552367096376</v>
      </c>
      <c r="K52">
        <f t="shared" si="18"/>
        <v>0.874476329036242</v>
      </c>
      <c r="L52">
        <f>INDEX(tblCities!$H$3:$L$52,iScatter!A52,uxbWorks!$B$25)</f>
        <v>1</v>
      </c>
      <c r="S52">
        <f t="shared" si="19"/>
        <v>0</v>
      </c>
      <c r="T52" t="e">
        <f t="shared" si="8"/>
        <v>#N/A</v>
      </c>
      <c r="U52" t="e">
        <f t="shared" si="9"/>
        <v>#N/A</v>
      </c>
      <c r="W52">
        <f t="shared" si="10"/>
        <v>93.49</v>
      </c>
      <c r="X52">
        <f t="shared" si="11"/>
        <v>2</v>
      </c>
      <c r="Z52">
        <f t="shared" si="12"/>
        <v>93.49</v>
      </c>
      <c r="AA52">
        <f t="shared" si="13"/>
        <v>2</v>
      </c>
      <c r="AC52">
        <f t="shared" si="14"/>
        <v>93.49</v>
      </c>
      <c r="AD52">
        <f t="shared" si="15"/>
        <v>2</v>
      </c>
    </row>
    <row r="53" spans="1:30">
      <c r="A53">
        <f>tblCities!A35</f>
        <v>33</v>
      </c>
      <c r="B53" s="152" t="str">
        <f>tblCities!C35</f>
        <v>Bangkok</v>
      </c>
      <c r="C53" s="152">
        <f>tblCities!D35</f>
        <v>2</v>
      </c>
      <c r="D53" s="152">
        <f t="shared" si="0"/>
        <v>77.89</v>
      </c>
      <c r="E53" s="152">
        <f t="shared" si="1"/>
        <v>1</v>
      </c>
      <c r="F53" t="b">
        <f t="shared" si="16"/>
        <v>1</v>
      </c>
      <c r="G53" s="153">
        <f t="shared" si="3"/>
        <v>77.89</v>
      </c>
      <c r="H53" s="153">
        <f t="shared" si="4"/>
        <v>1</v>
      </c>
      <c r="J53">
        <f t="shared" si="17"/>
        <v>1.44516341118824</v>
      </c>
      <c r="K53">
        <f t="shared" si="18"/>
        <v>-0.445163411188242</v>
      </c>
      <c r="L53">
        <f>INDEX(tblCities!$H$3:$L$52,iScatter!A53,uxbWorks!$B$25)</f>
        <v>1</v>
      </c>
      <c r="S53">
        <f t="shared" si="19"/>
        <v>0</v>
      </c>
      <c r="T53" t="e">
        <f t="shared" si="8"/>
        <v>#N/A</v>
      </c>
      <c r="U53" t="e">
        <f t="shared" si="9"/>
        <v>#N/A</v>
      </c>
      <c r="W53">
        <f t="shared" si="10"/>
        <v>77.89</v>
      </c>
      <c r="X53">
        <f t="shared" si="11"/>
        <v>1</v>
      </c>
      <c r="Z53">
        <f t="shared" si="12"/>
        <v>77.89</v>
      </c>
      <c r="AA53">
        <f t="shared" si="13"/>
        <v>1</v>
      </c>
      <c r="AC53">
        <f t="shared" si="14"/>
        <v>77.89</v>
      </c>
      <c r="AD53">
        <f t="shared" si="15"/>
        <v>1</v>
      </c>
    </row>
    <row r="54" spans="1:30">
      <c r="A54">
        <f>tblCities!A36</f>
        <v>34</v>
      </c>
      <c r="B54" s="152" t="str">
        <f>tblCities!C36</f>
        <v>Ho Chi Minh</v>
      </c>
      <c r="C54" s="152">
        <f>tblCities!D36</f>
        <v>2</v>
      </c>
      <c r="D54" s="152">
        <f t="shared" si="0"/>
        <v>74.81</v>
      </c>
      <c r="E54" s="152">
        <f t="shared" si="1"/>
        <v>3</v>
      </c>
      <c r="F54" t="b">
        <f t="shared" si="16"/>
        <v>1</v>
      </c>
      <c r="G54" s="153">
        <f t="shared" si="3"/>
        <v>74.81</v>
      </c>
      <c r="H54" s="153">
        <f t="shared" si="4"/>
        <v>3</v>
      </c>
      <c r="J54">
        <f t="shared" si="17"/>
        <v>1.50827177015564</v>
      </c>
      <c r="K54">
        <f t="shared" si="18"/>
        <v>1.49172822984436</v>
      </c>
      <c r="L54">
        <f>INDEX(tblCities!$H$3:$L$52,iScatter!A54,uxbWorks!$B$25)</f>
        <v>1</v>
      </c>
      <c r="S54">
        <f t="shared" si="19"/>
        <v>0</v>
      </c>
      <c r="T54" t="e">
        <f t="shared" si="8"/>
        <v>#N/A</v>
      </c>
      <c r="U54" t="e">
        <f t="shared" si="9"/>
        <v>#N/A</v>
      </c>
      <c r="W54">
        <f t="shared" si="10"/>
        <v>74.81</v>
      </c>
      <c r="X54">
        <f t="shared" si="11"/>
        <v>3</v>
      </c>
      <c r="Z54">
        <f t="shared" si="12"/>
        <v>74.81</v>
      </c>
      <c r="AA54">
        <f t="shared" si="13"/>
        <v>3</v>
      </c>
      <c r="AC54">
        <f t="shared" si="14"/>
        <v>74.81</v>
      </c>
      <c r="AD54">
        <f t="shared" si="15"/>
        <v>3</v>
      </c>
    </row>
    <row r="55" spans="1:30">
      <c r="A55">
        <f>tblCities!A37</f>
        <v>35</v>
      </c>
      <c r="B55" s="152" t="str">
        <f>tblCities!C37</f>
        <v>Kuwait City</v>
      </c>
      <c r="C55" s="152">
        <f>tblCities!D37</f>
        <v>2</v>
      </c>
      <c r="D55" s="152">
        <f t="shared" si="0"/>
        <v>85.8</v>
      </c>
      <c r="E55" s="152">
        <f t="shared" si="1"/>
        <v>1</v>
      </c>
      <c r="F55" t="b">
        <f t="shared" si="16"/>
        <v>1</v>
      </c>
      <c r="G55" s="153">
        <f t="shared" si="3"/>
        <v>85.8</v>
      </c>
      <c r="H55" s="153">
        <f t="shared" si="4"/>
        <v>1</v>
      </c>
      <c r="J55">
        <f t="shared" si="17"/>
        <v>1.28308967111288</v>
      </c>
      <c r="K55">
        <f t="shared" si="18"/>
        <v>-0.283089671112879</v>
      </c>
      <c r="L55">
        <f>INDEX(tblCities!$H$3:$L$52,iScatter!A55,uxbWorks!$B$25)</f>
        <v>1</v>
      </c>
      <c r="S55">
        <f t="shared" si="19"/>
        <v>0</v>
      </c>
      <c r="T55" t="e">
        <f t="shared" si="8"/>
        <v>#N/A</v>
      </c>
      <c r="U55" t="e">
        <f t="shared" si="9"/>
        <v>#N/A</v>
      </c>
      <c r="W55">
        <f t="shared" si="10"/>
        <v>85.8</v>
      </c>
      <c r="X55">
        <f t="shared" si="11"/>
        <v>1</v>
      </c>
      <c r="Z55">
        <f t="shared" si="12"/>
        <v>85.8</v>
      </c>
      <c r="AA55">
        <f t="shared" si="13"/>
        <v>1</v>
      </c>
      <c r="AC55">
        <f t="shared" si="14"/>
        <v>85.8</v>
      </c>
      <c r="AD55">
        <f t="shared" si="15"/>
        <v>1</v>
      </c>
    </row>
    <row r="56" spans="1:30">
      <c r="A56">
        <f>tblCities!A38</f>
        <v>36</v>
      </c>
      <c r="B56" s="152" t="str">
        <f>tblCities!C38</f>
        <v>Doha</v>
      </c>
      <c r="C56" s="152">
        <f>tblCities!D38</f>
        <v>4</v>
      </c>
      <c r="D56" s="152">
        <f t="shared" si="0"/>
        <v>83.67</v>
      </c>
      <c r="E56" s="152">
        <f t="shared" si="1"/>
        <v>2</v>
      </c>
      <c r="F56" t="b">
        <f t="shared" si="16"/>
        <v>1</v>
      </c>
      <c r="G56" s="153">
        <f t="shared" si="3"/>
        <v>83.67</v>
      </c>
      <c r="H56" s="153">
        <f t="shared" si="4"/>
        <v>2</v>
      </c>
      <c r="J56">
        <f t="shared" si="17"/>
        <v>1.32673278948968</v>
      </c>
      <c r="K56">
        <f t="shared" si="18"/>
        <v>0.673267210510317</v>
      </c>
      <c r="L56">
        <f>INDEX(tblCities!$H$3:$L$52,iScatter!A56,uxbWorks!$B$25)</f>
        <v>1</v>
      </c>
      <c r="S56">
        <f t="shared" si="19"/>
        <v>0</v>
      </c>
      <c r="T56" t="e">
        <f t="shared" si="8"/>
        <v>#N/A</v>
      </c>
      <c r="U56" t="e">
        <f t="shared" si="9"/>
        <v>#N/A</v>
      </c>
      <c r="W56">
        <f t="shared" si="10"/>
        <v>83.67</v>
      </c>
      <c r="X56">
        <f t="shared" si="11"/>
        <v>2</v>
      </c>
      <c r="Z56" t="e">
        <f t="shared" si="12"/>
        <v>#N/A</v>
      </c>
      <c r="AA56" t="e">
        <f t="shared" si="13"/>
        <v>#N/A</v>
      </c>
      <c r="AC56" t="e">
        <f t="shared" si="14"/>
        <v>#N/A</v>
      </c>
      <c r="AD56" t="e">
        <f t="shared" si="15"/>
        <v>#N/A</v>
      </c>
    </row>
    <row r="57" spans="1:30">
      <c r="A57">
        <f>tblCities!A39</f>
        <v>37</v>
      </c>
      <c r="B57" s="152" t="str">
        <f>tblCities!C39</f>
        <v>Riyadh</v>
      </c>
      <c r="C57" s="152">
        <f>tblCities!D39</f>
        <v>2</v>
      </c>
      <c r="D57" s="152">
        <f t="shared" si="0"/>
        <v>69.55</v>
      </c>
      <c r="E57" s="152">
        <f t="shared" si="1"/>
        <v>2</v>
      </c>
      <c r="F57" t="b">
        <f t="shared" si="16"/>
        <v>1</v>
      </c>
      <c r="G57" s="153">
        <f t="shared" si="3"/>
        <v>69.55</v>
      </c>
      <c r="H57" s="153">
        <f t="shared" si="4"/>
        <v>2</v>
      </c>
      <c r="J57">
        <f t="shared" si="17"/>
        <v>1.61604773384672</v>
      </c>
      <c r="K57">
        <f t="shared" si="18"/>
        <v>0.383952266153284</v>
      </c>
      <c r="L57">
        <f>INDEX(tblCities!$H$3:$L$52,iScatter!A57,uxbWorks!$B$25)</f>
        <v>1</v>
      </c>
      <c r="S57">
        <f t="shared" si="19"/>
        <v>0</v>
      </c>
      <c r="T57" t="e">
        <f t="shared" si="8"/>
        <v>#N/A</v>
      </c>
      <c r="U57" t="e">
        <f t="shared" si="9"/>
        <v>#N/A</v>
      </c>
      <c r="W57">
        <f t="shared" si="10"/>
        <v>69.55</v>
      </c>
      <c r="X57">
        <f t="shared" si="11"/>
        <v>2</v>
      </c>
      <c r="Z57">
        <f t="shared" si="12"/>
        <v>69.55</v>
      </c>
      <c r="AA57">
        <f t="shared" si="13"/>
        <v>2</v>
      </c>
      <c r="AC57">
        <f t="shared" si="14"/>
        <v>69.55</v>
      </c>
      <c r="AD57">
        <f t="shared" si="15"/>
        <v>2</v>
      </c>
    </row>
    <row r="58" spans="1:30">
      <c r="A58">
        <f>tblCities!A40</f>
        <v>38</v>
      </c>
      <c r="B58" s="152" t="str">
        <f>tblCities!C40</f>
        <v>Abu Dhabi</v>
      </c>
      <c r="C58" s="152">
        <f>tblCities!D40</f>
        <v>3</v>
      </c>
      <c r="D58" s="152">
        <f t="shared" si="0"/>
        <v>85.81</v>
      </c>
      <c r="E58" s="152">
        <f t="shared" si="1"/>
        <v>2</v>
      </c>
      <c r="F58" t="b">
        <f t="shared" si="16"/>
        <v>1</v>
      </c>
      <c r="G58" s="153">
        <f t="shared" si="3"/>
        <v>85.81</v>
      </c>
      <c r="H58" s="153">
        <f t="shared" si="4"/>
        <v>2</v>
      </c>
      <c r="J58">
        <f t="shared" si="17"/>
        <v>1.2828847738435</v>
      </c>
      <c r="K58">
        <f t="shared" si="18"/>
        <v>0.717115226156496</v>
      </c>
      <c r="L58">
        <f>INDEX(tblCities!$H$3:$L$52,iScatter!A58,uxbWorks!$B$25)</f>
        <v>1</v>
      </c>
      <c r="S58">
        <f t="shared" si="19"/>
        <v>0</v>
      </c>
      <c r="T58" t="e">
        <f t="shared" si="8"/>
        <v>#N/A</v>
      </c>
      <c r="U58" t="e">
        <f t="shared" si="9"/>
        <v>#N/A</v>
      </c>
      <c r="W58">
        <f t="shared" si="10"/>
        <v>85.81</v>
      </c>
      <c r="X58">
        <f t="shared" si="11"/>
        <v>2</v>
      </c>
      <c r="Z58" t="e">
        <f t="shared" si="12"/>
        <v>#N/A</v>
      </c>
      <c r="AA58" t="e">
        <f t="shared" si="13"/>
        <v>#N/A</v>
      </c>
      <c r="AC58" t="e">
        <f t="shared" si="14"/>
        <v>#N/A</v>
      </c>
      <c r="AD58" t="e">
        <f t="shared" si="15"/>
        <v>#N/A</v>
      </c>
    </row>
    <row r="59" spans="1:30">
      <c r="A59">
        <f>tblCities!A41</f>
        <v>39</v>
      </c>
      <c r="B59" s="152" t="str">
        <f>tblCities!C41</f>
        <v>Brussels</v>
      </c>
      <c r="C59" s="152">
        <f>tblCities!D41</f>
        <v>2</v>
      </c>
      <c r="D59" s="152">
        <f t="shared" si="0"/>
        <v>81.69</v>
      </c>
      <c r="E59" s="152">
        <f t="shared" si="1"/>
        <v>1</v>
      </c>
      <c r="F59" t="b">
        <f t="shared" si="16"/>
        <v>1</v>
      </c>
      <c r="G59" s="153">
        <f t="shared" si="3"/>
        <v>81.69</v>
      </c>
      <c r="H59" s="153">
        <f t="shared" si="4"/>
        <v>1</v>
      </c>
      <c r="J59">
        <f t="shared" si="17"/>
        <v>1.36730244882587</v>
      </c>
      <c r="K59">
        <f t="shared" si="18"/>
        <v>-0.367302448825868</v>
      </c>
      <c r="L59">
        <f>INDEX(tblCities!$H$3:$L$52,iScatter!A59,uxbWorks!$B$25)</f>
        <v>1</v>
      </c>
      <c r="S59">
        <f t="shared" si="19"/>
        <v>0</v>
      </c>
      <c r="T59" t="e">
        <f t="shared" si="8"/>
        <v>#N/A</v>
      </c>
      <c r="U59" t="e">
        <f t="shared" si="9"/>
        <v>#N/A</v>
      </c>
      <c r="W59">
        <f t="shared" si="10"/>
        <v>81.69</v>
      </c>
      <c r="X59">
        <f t="shared" si="11"/>
        <v>1</v>
      </c>
      <c r="Z59">
        <f t="shared" si="12"/>
        <v>81.69</v>
      </c>
      <c r="AA59">
        <f t="shared" si="13"/>
        <v>1</v>
      </c>
      <c r="AC59">
        <f t="shared" si="14"/>
        <v>81.69</v>
      </c>
      <c r="AD59">
        <f t="shared" si="15"/>
        <v>1</v>
      </c>
    </row>
    <row r="60" spans="1:30">
      <c r="A60">
        <f>tblCities!A42</f>
        <v>40</v>
      </c>
      <c r="B60" s="152" t="str">
        <f>tblCities!C42</f>
        <v>Paris</v>
      </c>
      <c r="C60" s="152">
        <f>tblCities!D42</f>
        <v>2</v>
      </c>
      <c r="D60" s="152">
        <f t="shared" si="0"/>
        <v>78.94</v>
      </c>
      <c r="E60" s="152">
        <f t="shared" si="1"/>
        <v>1</v>
      </c>
      <c r="F60" t="b">
        <f t="shared" si="16"/>
        <v>1</v>
      </c>
      <c r="G60" s="153">
        <f t="shared" si="3"/>
        <v>78.94</v>
      </c>
      <c r="H60" s="153">
        <f t="shared" si="4"/>
        <v>1</v>
      </c>
      <c r="J60">
        <f t="shared" si="17"/>
        <v>1.4236491979039</v>
      </c>
      <c r="K60">
        <f t="shared" si="18"/>
        <v>-0.423649197903902</v>
      </c>
      <c r="L60">
        <f>INDEX(tblCities!$H$3:$L$52,iScatter!A60,uxbWorks!$B$25)</f>
        <v>1</v>
      </c>
      <c r="S60">
        <f t="shared" si="19"/>
        <v>0</v>
      </c>
      <c r="T60" t="e">
        <f t="shared" si="8"/>
        <v>#N/A</v>
      </c>
      <c r="U60" t="e">
        <f t="shared" si="9"/>
        <v>#N/A</v>
      </c>
      <c r="W60">
        <f t="shared" si="10"/>
        <v>78.94</v>
      </c>
      <c r="X60">
        <f t="shared" si="11"/>
        <v>1</v>
      </c>
      <c r="Z60">
        <f t="shared" si="12"/>
        <v>78.94</v>
      </c>
      <c r="AA60">
        <f t="shared" si="13"/>
        <v>1</v>
      </c>
      <c r="AC60">
        <f t="shared" si="14"/>
        <v>78.94</v>
      </c>
      <c r="AD60">
        <f t="shared" si="15"/>
        <v>1</v>
      </c>
    </row>
    <row r="61" spans="1:30">
      <c r="A61">
        <f>tblCities!A43</f>
        <v>41</v>
      </c>
      <c r="B61" s="152" t="str">
        <f>tblCities!C43</f>
        <v>Frankfurt</v>
      </c>
      <c r="C61" s="152">
        <f>tblCities!D43</f>
        <v>2</v>
      </c>
      <c r="D61" s="152">
        <f t="shared" si="0"/>
        <v>70.09</v>
      </c>
      <c r="E61" s="152">
        <f t="shared" si="1"/>
        <v>1</v>
      </c>
      <c r="F61" t="b">
        <f t="shared" si="16"/>
        <v>1</v>
      </c>
      <c r="G61" s="153">
        <f t="shared" si="3"/>
        <v>70.09</v>
      </c>
      <c r="H61" s="153">
        <f t="shared" si="4"/>
        <v>1</v>
      </c>
      <c r="J61">
        <f t="shared" si="17"/>
        <v>1.60498328130048</v>
      </c>
      <c r="K61">
        <f t="shared" si="18"/>
        <v>-0.604983281300484</v>
      </c>
      <c r="L61">
        <f>INDEX(tblCities!$H$3:$L$52,iScatter!A61,uxbWorks!$B$25)</f>
        <v>1</v>
      </c>
      <c r="S61">
        <f t="shared" si="19"/>
        <v>0</v>
      </c>
      <c r="T61" t="e">
        <f t="shared" si="8"/>
        <v>#N/A</v>
      </c>
      <c r="U61" t="e">
        <f t="shared" si="9"/>
        <v>#N/A</v>
      </c>
      <c r="W61">
        <f t="shared" si="10"/>
        <v>70.09</v>
      </c>
      <c r="X61">
        <f t="shared" si="11"/>
        <v>1</v>
      </c>
      <c r="Z61">
        <f t="shared" si="12"/>
        <v>70.09</v>
      </c>
      <c r="AA61">
        <f t="shared" si="13"/>
        <v>1</v>
      </c>
      <c r="AC61">
        <f t="shared" si="14"/>
        <v>70.09</v>
      </c>
      <c r="AD61">
        <f t="shared" si="15"/>
        <v>1</v>
      </c>
    </row>
    <row r="62" spans="1:30">
      <c r="A62">
        <f>tblCities!A44</f>
        <v>42</v>
      </c>
      <c r="B62" s="152" t="str">
        <f>tblCities!C44</f>
        <v>Rome</v>
      </c>
      <c r="C62" s="152">
        <f>tblCities!D44</f>
        <v>2</v>
      </c>
      <c r="D62" s="152">
        <f t="shared" si="0"/>
        <v>74.05</v>
      </c>
      <c r="E62" s="152">
        <f t="shared" si="1"/>
        <v>1</v>
      </c>
      <c r="F62" t="b">
        <f t="shared" si="16"/>
        <v>1</v>
      </c>
      <c r="G62" s="153">
        <f t="shared" si="3"/>
        <v>74.05</v>
      </c>
      <c r="H62" s="153">
        <f t="shared" si="4"/>
        <v>1</v>
      </c>
      <c r="J62">
        <f t="shared" si="17"/>
        <v>1.52384396262811</v>
      </c>
      <c r="K62">
        <f t="shared" si="18"/>
        <v>-0.523843962628115</v>
      </c>
      <c r="L62">
        <f>INDEX(tblCities!$H$3:$L$52,iScatter!A62,uxbWorks!$B$25)</f>
        <v>1</v>
      </c>
      <c r="S62">
        <f t="shared" si="19"/>
        <v>0</v>
      </c>
      <c r="T62" t="e">
        <f t="shared" si="8"/>
        <v>#N/A</v>
      </c>
      <c r="U62" t="e">
        <f t="shared" si="9"/>
        <v>#N/A</v>
      </c>
      <c r="W62">
        <f t="shared" si="10"/>
        <v>74.05</v>
      </c>
      <c r="X62">
        <f t="shared" si="11"/>
        <v>1</v>
      </c>
      <c r="Z62">
        <f t="shared" si="12"/>
        <v>74.05</v>
      </c>
      <c r="AA62">
        <f t="shared" si="13"/>
        <v>1</v>
      </c>
      <c r="AC62">
        <f t="shared" si="14"/>
        <v>74.05</v>
      </c>
      <c r="AD62">
        <f t="shared" si="15"/>
        <v>1</v>
      </c>
    </row>
    <row r="63" spans="1:30">
      <c r="A63">
        <f>tblCities!A45</f>
        <v>43</v>
      </c>
      <c r="B63" s="152" t="str">
        <f>tblCities!C45</f>
        <v>Milan</v>
      </c>
      <c r="C63" s="152">
        <f>tblCities!D45</f>
        <v>2</v>
      </c>
      <c r="D63" s="152">
        <f t="shared" si="0"/>
        <v>69.31</v>
      </c>
      <c r="E63" s="152">
        <f t="shared" si="1"/>
        <v>1</v>
      </c>
      <c r="F63" t="b">
        <f t="shared" si="16"/>
        <v>1</v>
      </c>
      <c r="G63" s="153">
        <f t="shared" si="3"/>
        <v>69.31</v>
      </c>
      <c r="H63" s="153">
        <f t="shared" si="4"/>
        <v>1</v>
      </c>
      <c r="J63">
        <f t="shared" si="17"/>
        <v>1.62096526831171</v>
      </c>
      <c r="K63">
        <f t="shared" si="18"/>
        <v>-0.620965268311708</v>
      </c>
      <c r="L63">
        <f>INDEX(tblCities!$H$3:$L$52,iScatter!A63,uxbWorks!$B$25)</f>
        <v>1</v>
      </c>
      <c r="S63">
        <f t="shared" si="19"/>
        <v>0</v>
      </c>
      <c r="T63" t="e">
        <f t="shared" si="8"/>
        <v>#N/A</v>
      </c>
      <c r="U63" t="e">
        <f t="shared" si="9"/>
        <v>#N/A</v>
      </c>
      <c r="W63">
        <f t="shared" si="10"/>
        <v>69.31</v>
      </c>
      <c r="X63">
        <f t="shared" si="11"/>
        <v>1</v>
      </c>
      <c r="Z63">
        <f t="shared" si="12"/>
        <v>69.31</v>
      </c>
      <c r="AA63">
        <f t="shared" si="13"/>
        <v>1</v>
      </c>
      <c r="AC63">
        <f t="shared" si="14"/>
        <v>69.31</v>
      </c>
      <c r="AD63">
        <f t="shared" si="15"/>
        <v>1</v>
      </c>
    </row>
    <row r="64" spans="1:30">
      <c r="A64">
        <f>tblCities!A46</f>
        <v>44</v>
      </c>
      <c r="B64" s="152" t="str">
        <f>tblCities!C46</f>
        <v>Amsterdam</v>
      </c>
      <c r="C64" s="152">
        <f>tblCities!D46</f>
        <v>2</v>
      </c>
      <c r="D64" s="152">
        <f t="shared" si="0"/>
        <v>88.54</v>
      </c>
      <c r="E64" s="152">
        <f t="shared" si="1"/>
        <v>1</v>
      </c>
      <c r="F64" t="b">
        <f t="shared" si="16"/>
        <v>1</v>
      </c>
      <c r="G64" s="153">
        <f t="shared" si="3"/>
        <v>88.54</v>
      </c>
      <c r="H64" s="153">
        <f t="shared" si="4"/>
        <v>1</v>
      </c>
      <c r="J64">
        <f t="shared" si="17"/>
        <v>1.22694781930422</v>
      </c>
      <c r="K64">
        <f t="shared" si="18"/>
        <v>-0.226947819304219</v>
      </c>
      <c r="L64">
        <f>INDEX(tblCities!$H$3:$L$52,iScatter!A64,uxbWorks!$B$25)</f>
        <v>1</v>
      </c>
      <c r="S64">
        <f t="shared" si="19"/>
        <v>0</v>
      </c>
      <c r="T64" t="e">
        <f t="shared" si="8"/>
        <v>#N/A</v>
      </c>
      <c r="U64" t="e">
        <f t="shared" si="9"/>
        <v>#N/A</v>
      </c>
      <c r="W64">
        <f t="shared" si="10"/>
        <v>88.54</v>
      </c>
      <c r="X64">
        <f t="shared" si="11"/>
        <v>1</v>
      </c>
      <c r="Z64">
        <f t="shared" si="12"/>
        <v>88.54</v>
      </c>
      <c r="AA64">
        <f t="shared" si="13"/>
        <v>1</v>
      </c>
      <c r="AC64">
        <f t="shared" si="14"/>
        <v>88.54</v>
      </c>
      <c r="AD64">
        <f t="shared" si="15"/>
        <v>1</v>
      </c>
    </row>
    <row r="65" spans="1:30">
      <c r="A65">
        <f>tblCities!A47</f>
        <v>45</v>
      </c>
      <c r="B65" s="152" t="str">
        <f>tblCities!C47</f>
        <v>Moscow</v>
      </c>
      <c r="C65" s="152">
        <f>tblCities!D47</f>
        <v>2</v>
      </c>
      <c r="D65" s="152">
        <f t="shared" si="0"/>
        <v>64.31</v>
      </c>
      <c r="E65" s="152">
        <f t="shared" si="1"/>
        <v>1</v>
      </c>
      <c r="F65" t="b">
        <f t="shared" si="16"/>
        <v>1</v>
      </c>
      <c r="G65" s="153">
        <f t="shared" si="3"/>
        <v>64.31</v>
      </c>
      <c r="H65" s="153">
        <f t="shared" si="4"/>
        <v>1</v>
      </c>
      <c r="J65">
        <f t="shared" si="17"/>
        <v>1.72341390299904</v>
      </c>
      <c r="K65">
        <f t="shared" si="18"/>
        <v>-0.723413902999042</v>
      </c>
      <c r="L65">
        <f>INDEX(tblCities!$H$3:$L$52,iScatter!A65,uxbWorks!$B$25)</f>
        <v>1</v>
      </c>
      <c r="S65">
        <f t="shared" si="19"/>
        <v>0</v>
      </c>
      <c r="T65" t="e">
        <f t="shared" si="8"/>
        <v>#N/A</v>
      </c>
      <c r="U65" t="e">
        <f t="shared" si="9"/>
        <v>#N/A</v>
      </c>
      <c r="W65">
        <f t="shared" si="10"/>
        <v>64.31</v>
      </c>
      <c r="X65">
        <f t="shared" si="11"/>
        <v>1</v>
      </c>
      <c r="Z65">
        <f t="shared" si="12"/>
        <v>64.31</v>
      </c>
      <c r="AA65">
        <f t="shared" si="13"/>
        <v>1</v>
      </c>
      <c r="AC65">
        <f t="shared" si="14"/>
        <v>64.31</v>
      </c>
      <c r="AD65">
        <f t="shared" si="15"/>
        <v>1</v>
      </c>
    </row>
    <row r="66" spans="1:30">
      <c r="A66">
        <f>tblCities!A48</f>
        <v>46</v>
      </c>
      <c r="B66" s="152" t="str">
        <f>tblCities!C48</f>
        <v>Madrid</v>
      </c>
      <c r="C66" s="152">
        <f>tblCities!D48</f>
        <v>2</v>
      </c>
      <c r="D66" s="152">
        <f t="shared" si="0"/>
        <v>80.07</v>
      </c>
      <c r="E66" s="152">
        <f t="shared" si="1"/>
        <v>1</v>
      </c>
      <c r="F66" t="b">
        <f t="shared" si="16"/>
        <v>1</v>
      </c>
      <c r="G66" s="153">
        <f t="shared" si="3"/>
        <v>80.07</v>
      </c>
      <c r="H66" s="153">
        <f t="shared" si="4"/>
        <v>1</v>
      </c>
      <c r="J66">
        <f t="shared" si="17"/>
        <v>1.40049580646456</v>
      </c>
      <c r="K66">
        <f t="shared" si="18"/>
        <v>-0.400495806464564</v>
      </c>
      <c r="L66">
        <f>INDEX(tblCities!$H$3:$L$52,iScatter!A66,uxbWorks!$B$25)</f>
        <v>1</v>
      </c>
      <c r="S66">
        <f t="shared" si="19"/>
        <v>0</v>
      </c>
      <c r="T66" t="e">
        <f t="shared" si="8"/>
        <v>#N/A</v>
      </c>
      <c r="U66" t="e">
        <f t="shared" si="9"/>
        <v>#N/A</v>
      </c>
      <c r="W66">
        <f t="shared" si="10"/>
        <v>80.07</v>
      </c>
      <c r="X66">
        <f t="shared" si="11"/>
        <v>1</v>
      </c>
      <c r="Z66">
        <f t="shared" si="12"/>
        <v>80.07</v>
      </c>
      <c r="AA66">
        <f t="shared" si="13"/>
        <v>1</v>
      </c>
      <c r="AC66">
        <f t="shared" si="14"/>
        <v>80.07</v>
      </c>
      <c r="AD66">
        <f t="shared" si="15"/>
        <v>1</v>
      </c>
    </row>
    <row r="67" spans="1:30">
      <c r="A67">
        <f>tblCities!A49</f>
        <v>47</v>
      </c>
      <c r="B67" s="152" t="str">
        <f>tblCities!C49</f>
        <v>Barcelona</v>
      </c>
      <c r="C67" s="152">
        <f>tblCities!D49</f>
        <v>2</v>
      </c>
      <c r="D67" s="152">
        <f t="shared" si="0"/>
        <v>76.79</v>
      </c>
      <c r="E67" s="152">
        <f t="shared" si="1"/>
        <v>1</v>
      </c>
      <c r="F67" t="b">
        <f t="shared" si="16"/>
        <v>1</v>
      </c>
      <c r="G67" s="153">
        <f t="shared" si="3"/>
        <v>76.79</v>
      </c>
      <c r="H67" s="153">
        <f t="shared" si="4"/>
        <v>1</v>
      </c>
      <c r="J67">
        <f t="shared" si="17"/>
        <v>1.46770211081946</v>
      </c>
      <c r="K67">
        <f t="shared" si="18"/>
        <v>-0.467702110819455</v>
      </c>
      <c r="L67">
        <f>INDEX(tblCities!$H$3:$L$52,iScatter!A67,uxbWorks!$B$25)</f>
        <v>1</v>
      </c>
      <c r="S67">
        <f t="shared" si="19"/>
        <v>0</v>
      </c>
      <c r="T67" t="e">
        <f t="shared" si="8"/>
        <v>#N/A</v>
      </c>
      <c r="U67" t="e">
        <f t="shared" si="9"/>
        <v>#N/A</v>
      </c>
      <c r="W67">
        <f t="shared" si="10"/>
        <v>76.79</v>
      </c>
      <c r="X67">
        <f t="shared" si="11"/>
        <v>1</v>
      </c>
      <c r="Z67">
        <f t="shared" si="12"/>
        <v>76.79</v>
      </c>
      <c r="AA67">
        <f t="shared" si="13"/>
        <v>1</v>
      </c>
      <c r="AC67">
        <f t="shared" si="14"/>
        <v>76.79</v>
      </c>
      <c r="AD67">
        <f t="shared" si="15"/>
        <v>1</v>
      </c>
    </row>
    <row r="68" spans="1:30">
      <c r="A68">
        <f>tblCities!A50</f>
        <v>48</v>
      </c>
      <c r="B68" s="152" t="str">
        <f>tblCities!C50</f>
        <v>Zurich</v>
      </c>
      <c r="C68" s="152">
        <f>tblCities!D50</f>
        <v>2</v>
      </c>
      <c r="D68" s="152">
        <f t="shared" si="0"/>
        <v>91.26</v>
      </c>
      <c r="E68" s="152">
        <f t="shared" si="1"/>
        <v>1</v>
      </c>
      <c r="F68" t="b">
        <f t="shared" si="16"/>
        <v>1</v>
      </c>
      <c r="G68" s="153">
        <f t="shared" si="3"/>
        <v>91.26</v>
      </c>
      <c r="H68" s="153">
        <f t="shared" si="4"/>
        <v>1</v>
      </c>
      <c r="J68">
        <f t="shared" si="17"/>
        <v>1.17121576203431</v>
      </c>
      <c r="K68">
        <f t="shared" si="18"/>
        <v>-0.171215762034309</v>
      </c>
      <c r="L68">
        <f>INDEX(tblCities!$H$3:$L$52,iScatter!A68,uxbWorks!$B$25)</f>
        <v>1</v>
      </c>
      <c r="S68">
        <f t="shared" si="19"/>
        <v>0</v>
      </c>
      <c r="T68" t="e">
        <f t="shared" si="8"/>
        <v>#N/A</v>
      </c>
      <c r="U68" t="e">
        <f t="shared" si="9"/>
        <v>#N/A</v>
      </c>
      <c r="W68">
        <f t="shared" si="10"/>
        <v>91.26</v>
      </c>
      <c r="X68">
        <f t="shared" si="11"/>
        <v>1</v>
      </c>
      <c r="Z68">
        <f t="shared" si="12"/>
        <v>91.26</v>
      </c>
      <c r="AA68">
        <f t="shared" si="13"/>
        <v>1</v>
      </c>
      <c r="AC68">
        <f t="shared" si="14"/>
        <v>91.26</v>
      </c>
      <c r="AD68">
        <f t="shared" si="15"/>
        <v>1</v>
      </c>
    </row>
    <row r="69" spans="1:30">
      <c r="A69">
        <f>tblCities!A51</f>
        <v>49</v>
      </c>
      <c r="B69" s="152" t="str">
        <f>tblCities!C51</f>
        <v>Istanbul</v>
      </c>
      <c r="C69" s="152">
        <f>tblCities!D51</f>
        <v>2</v>
      </c>
      <c r="D69" s="152">
        <f t="shared" si="0"/>
        <v>79.42</v>
      </c>
      <c r="E69" s="152">
        <f t="shared" si="1"/>
        <v>2</v>
      </c>
      <c r="F69" t="b">
        <f t="shared" si="16"/>
        <v>1</v>
      </c>
      <c r="G69" s="153">
        <f t="shared" si="3"/>
        <v>79.42</v>
      </c>
      <c r="H69" s="153">
        <f t="shared" si="4"/>
        <v>2</v>
      </c>
      <c r="J69">
        <f t="shared" si="17"/>
        <v>1.41381412897392</v>
      </c>
      <c r="K69">
        <f t="shared" si="18"/>
        <v>0.586185871026083</v>
      </c>
      <c r="L69">
        <f>INDEX(tblCities!$H$3:$L$52,iScatter!A69,uxbWorks!$B$25)</f>
        <v>1</v>
      </c>
      <c r="S69">
        <f t="shared" si="19"/>
        <v>0</v>
      </c>
      <c r="T69" t="e">
        <f t="shared" si="8"/>
        <v>#N/A</v>
      </c>
      <c r="U69" t="e">
        <f t="shared" si="9"/>
        <v>#N/A</v>
      </c>
      <c r="W69">
        <f t="shared" si="10"/>
        <v>79.42</v>
      </c>
      <c r="X69">
        <f t="shared" si="11"/>
        <v>2</v>
      </c>
      <c r="Z69">
        <f t="shared" si="12"/>
        <v>79.42</v>
      </c>
      <c r="AA69">
        <f t="shared" si="13"/>
        <v>2</v>
      </c>
      <c r="AC69">
        <f t="shared" si="14"/>
        <v>79.42</v>
      </c>
      <c r="AD69">
        <f t="shared" si="15"/>
        <v>2</v>
      </c>
    </row>
    <row r="70" spans="1:30">
      <c r="A70">
        <f>tblCities!A52</f>
        <v>50</v>
      </c>
      <c r="B70" s="152" t="str">
        <f>tblCities!C52</f>
        <v>London</v>
      </c>
      <c r="C70" s="152">
        <f>tblCities!D52</f>
        <v>2</v>
      </c>
      <c r="D70" s="152">
        <f t="shared" si="0"/>
        <v>81.81</v>
      </c>
      <c r="E70" s="152">
        <f t="shared" si="1"/>
        <v>1</v>
      </c>
      <c r="F70" t="b">
        <f t="shared" si="16"/>
        <v>1</v>
      </c>
      <c r="G70" s="153">
        <f t="shared" si="3"/>
        <v>81.81</v>
      </c>
      <c r="H70" s="153">
        <f t="shared" si="4"/>
        <v>1</v>
      </c>
      <c r="J70">
        <f t="shared" si="17"/>
        <v>1.36484368159337</v>
      </c>
      <c r="K70">
        <f t="shared" si="18"/>
        <v>-0.364843681593372</v>
      </c>
      <c r="L70">
        <f>INDEX(tblCities!$H$3:$L$52,iScatter!A70,uxbWorks!$B$25)</f>
        <v>1</v>
      </c>
      <c r="S70">
        <f t="shared" si="19"/>
        <v>0</v>
      </c>
      <c r="T70" t="e">
        <f t="shared" si="8"/>
        <v>#N/A</v>
      </c>
      <c r="U70" t="e">
        <f t="shared" si="9"/>
        <v>#N/A</v>
      </c>
      <c r="W70">
        <f t="shared" si="10"/>
        <v>81.81</v>
      </c>
      <c r="X70">
        <f t="shared" si="11"/>
        <v>1</v>
      </c>
      <c r="Z70">
        <f t="shared" si="12"/>
        <v>81.81</v>
      </c>
      <c r="AA70">
        <f t="shared" si="13"/>
        <v>1</v>
      </c>
      <c r="AC70">
        <f t="shared" si="14"/>
        <v>81.81</v>
      </c>
      <c r="AD70">
        <f t="shared" si="15"/>
        <v>1</v>
      </c>
    </row>
  </sheetData>
  <sheetProtection selectLockedCells="1" selectUnlockedCells="1"/>
  <pageMargins left="0.7" right="0.7" top="0.75" bottom="0.75" header="0.3" footer="0.3"/>
  <pageSetup paperSize="1"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FFC000"/>
  </sheetPr>
  <dimension ref="A1:CP82"/>
  <sheetViews>
    <sheetView workbookViewId="0">
      <selection activeCell="A1" sqref="A1"/>
    </sheetView>
  </sheetViews>
  <sheetFormatPr defaultColWidth="9" defaultRowHeight="11.25"/>
  <cols>
    <col min="1" max="1" width="12.4285714285714" style="85" customWidth="1"/>
    <col min="2" max="2" width="9.14285714285714" style="85"/>
    <col min="3" max="3" width="15.8571428571429" style="85" customWidth="1"/>
    <col min="4" max="4" width="3.42857142857143" style="85" customWidth="1"/>
    <col min="5" max="5" width="13" style="85" customWidth="1"/>
    <col min="6" max="12" width="9.14285714285714" style="85"/>
    <col min="13" max="13" width="13.4285714285714" style="85" customWidth="1"/>
    <col min="14" max="14" width="15" style="85" customWidth="1"/>
    <col min="15" max="21" width="9.14285714285714" style="85"/>
    <col min="22" max="22" width="11.1428571428571" style="85" customWidth="1"/>
    <col min="23" max="23" width="12.4285714285714" style="85" customWidth="1"/>
    <col min="24" max="25" width="9.14285714285714" style="85"/>
    <col min="26" max="26" width="11.7142857142857" style="85" customWidth="1"/>
    <col min="27" max="27" width="11.4285714285714" style="85" customWidth="1"/>
    <col min="28" max="254" width="9.14285714285714" style="85"/>
    <col min="255" max="255" width="12.4285714285714" style="85" customWidth="1"/>
    <col min="256" max="256" width="9.14285714285714" style="85"/>
    <col min="257" max="257" width="15.8571428571429" style="85" customWidth="1"/>
    <col min="258" max="258" width="3.42857142857143" style="85" customWidth="1"/>
    <col min="259" max="259" width="13" style="85" customWidth="1"/>
    <col min="260" max="266" width="9.14285714285714" style="85"/>
    <col min="267" max="267" width="13.4285714285714" style="85" customWidth="1"/>
    <col min="268" max="268" width="15" style="85" customWidth="1"/>
    <col min="269" max="275" width="9.14285714285714" style="85"/>
    <col min="276" max="276" width="11.1428571428571" style="85" customWidth="1"/>
    <col min="277" max="277" width="12.4285714285714" style="85" customWidth="1"/>
    <col min="278" max="279" width="9.14285714285714" style="85"/>
    <col min="280" max="280" width="11.7142857142857" style="85" customWidth="1"/>
    <col min="281" max="281" width="11.4285714285714" style="85" customWidth="1"/>
    <col min="282" max="510" width="9.14285714285714" style="85"/>
    <col min="511" max="511" width="12.4285714285714" style="85" customWidth="1"/>
    <col min="512" max="512" width="9.14285714285714" style="85"/>
    <col min="513" max="513" width="15.8571428571429" style="85" customWidth="1"/>
    <col min="514" max="514" width="3.42857142857143" style="85" customWidth="1"/>
    <col min="515" max="515" width="13" style="85" customWidth="1"/>
    <col min="516" max="522" width="9.14285714285714" style="85"/>
    <col min="523" max="523" width="13.4285714285714" style="85" customWidth="1"/>
    <col min="524" max="524" width="15" style="85" customWidth="1"/>
    <col min="525" max="531" width="9.14285714285714" style="85"/>
    <col min="532" max="532" width="11.1428571428571" style="85" customWidth="1"/>
    <col min="533" max="533" width="12.4285714285714" style="85" customWidth="1"/>
    <col min="534" max="535" width="9.14285714285714" style="85"/>
    <col min="536" max="536" width="11.7142857142857" style="85" customWidth="1"/>
    <col min="537" max="537" width="11.4285714285714" style="85" customWidth="1"/>
    <col min="538" max="766" width="9.14285714285714" style="85"/>
    <col min="767" max="767" width="12.4285714285714" style="85" customWidth="1"/>
    <col min="768" max="768" width="9.14285714285714" style="85"/>
    <col min="769" max="769" width="15.8571428571429" style="85" customWidth="1"/>
    <col min="770" max="770" width="3.42857142857143" style="85" customWidth="1"/>
    <col min="771" max="771" width="13" style="85" customWidth="1"/>
    <col min="772" max="778" width="9.14285714285714" style="85"/>
    <col min="779" max="779" width="13.4285714285714" style="85" customWidth="1"/>
    <col min="780" max="780" width="15" style="85" customWidth="1"/>
    <col min="781" max="787" width="9.14285714285714" style="85"/>
    <col min="788" max="788" width="11.1428571428571" style="85" customWidth="1"/>
    <col min="789" max="789" width="12.4285714285714" style="85" customWidth="1"/>
    <col min="790" max="791" width="9.14285714285714" style="85"/>
    <col min="792" max="792" width="11.7142857142857" style="85" customWidth="1"/>
    <col min="793" max="793" width="11.4285714285714" style="85" customWidth="1"/>
    <col min="794" max="1022" width="9.14285714285714" style="85"/>
    <col min="1023" max="1023" width="12.4285714285714" style="85" customWidth="1"/>
    <col min="1024" max="1024" width="9.14285714285714" style="85"/>
    <col min="1025" max="1025" width="15.8571428571429" style="85" customWidth="1"/>
    <col min="1026" max="1026" width="3.42857142857143" style="85" customWidth="1"/>
    <col min="1027" max="1027" width="13" style="85" customWidth="1"/>
    <col min="1028" max="1034" width="9.14285714285714" style="85"/>
    <col min="1035" max="1035" width="13.4285714285714" style="85" customWidth="1"/>
    <col min="1036" max="1036" width="15" style="85" customWidth="1"/>
    <col min="1037" max="1043" width="9.14285714285714" style="85"/>
    <col min="1044" max="1044" width="11.1428571428571" style="85" customWidth="1"/>
    <col min="1045" max="1045" width="12.4285714285714" style="85" customWidth="1"/>
    <col min="1046" max="1047" width="9.14285714285714" style="85"/>
    <col min="1048" max="1048" width="11.7142857142857" style="85" customWidth="1"/>
    <col min="1049" max="1049" width="11.4285714285714" style="85" customWidth="1"/>
    <col min="1050" max="1278" width="9.14285714285714" style="85"/>
    <col min="1279" max="1279" width="12.4285714285714" style="85" customWidth="1"/>
    <col min="1280" max="1280" width="9.14285714285714" style="85"/>
    <col min="1281" max="1281" width="15.8571428571429" style="85" customWidth="1"/>
    <col min="1282" max="1282" width="3.42857142857143" style="85" customWidth="1"/>
    <col min="1283" max="1283" width="13" style="85" customWidth="1"/>
    <col min="1284" max="1290" width="9.14285714285714" style="85"/>
    <col min="1291" max="1291" width="13.4285714285714" style="85" customWidth="1"/>
    <col min="1292" max="1292" width="15" style="85" customWidth="1"/>
    <col min="1293" max="1299" width="9.14285714285714" style="85"/>
    <col min="1300" max="1300" width="11.1428571428571" style="85" customWidth="1"/>
    <col min="1301" max="1301" width="12.4285714285714" style="85" customWidth="1"/>
    <col min="1302" max="1303" width="9.14285714285714" style="85"/>
    <col min="1304" max="1304" width="11.7142857142857" style="85" customWidth="1"/>
    <col min="1305" max="1305" width="11.4285714285714" style="85" customWidth="1"/>
    <col min="1306" max="1534" width="9.14285714285714" style="85"/>
    <col min="1535" max="1535" width="12.4285714285714" style="85" customWidth="1"/>
    <col min="1536" max="1536" width="9.14285714285714" style="85"/>
    <col min="1537" max="1537" width="15.8571428571429" style="85" customWidth="1"/>
    <col min="1538" max="1538" width="3.42857142857143" style="85" customWidth="1"/>
    <col min="1539" max="1539" width="13" style="85" customWidth="1"/>
    <col min="1540" max="1546" width="9.14285714285714" style="85"/>
    <col min="1547" max="1547" width="13.4285714285714" style="85" customWidth="1"/>
    <col min="1548" max="1548" width="15" style="85" customWidth="1"/>
    <col min="1549" max="1555" width="9.14285714285714" style="85"/>
    <col min="1556" max="1556" width="11.1428571428571" style="85" customWidth="1"/>
    <col min="1557" max="1557" width="12.4285714285714" style="85" customWidth="1"/>
    <col min="1558" max="1559" width="9.14285714285714" style="85"/>
    <col min="1560" max="1560" width="11.7142857142857" style="85" customWidth="1"/>
    <col min="1561" max="1561" width="11.4285714285714" style="85" customWidth="1"/>
    <col min="1562" max="1790" width="9.14285714285714" style="85"/>
    <col min="1791" max="1791" width="12.4285714285714" style="85" customWidth="1"/>
    <col min="1792" max="1792" width="9.14285714285714" style="85"/>
    <col min="1793" max="1793" width="15.8571428571429" style="85" customWidth="1"/>
    <col min="1794" max="1794" width="3.42857142857143" style="85" customWidth="1"/>
    <col min="1795" max="1795" width="13" style="85" customWidth="1"/>
    <col min="1796" max="1802" width="9.14285714285714" style="85"/>
    <col min="1803" max="1803" width="13.4285714285714" style="85" customWidth="1"/>
    <col min="1804" max="1804" width="15" style="85" customWidth="1"/>
    <col min="1805" max="1811" width="9.14285714285714" style="85"/>
    <col min="1812" max="1812" width="11.1428571428571" style="85" customWidth="1"/>
    <col min="1813" max="1813" width="12.4285714285714" style="85" customWidth="1"/>
    <col min="1814" max="1815" width="9.14285714285714" style="85"/>
    <col min="1816" max="1816" width="11.7142857142857" style="85" customWidth="1"/>
    <col min="1817" max="1817" width="11.4285714285714" style="85" customWidth="1"/>
    <col min="1818" max="2046" width="9.14285714285714" style="85"/>
    <col min="2047" max="2047" width="12.4285714285714" style="85" customWidth="1"/>
    <col min="2048" max="2048" width="9.14285714285714" style="85"/>
    <col min="2049" max="2049" width="15.8571428571429" style="85" customWidth="1"/>
    <col min="2050" max="2050" width="3.42857142857143" style="85" customWidth="1"/>
    <col min="2051" max="2051" width="13" style="85" customWidth="1"/>
    <col min="2052" max="2058" width="9.14285714285714" style="85"/>
    <col min="2059" max="2059" width="13.4285714285714" style="85" customWidth="1"/>
    <col min="2060" max="2060" width="15" style="85" customWidth="1"/>
    <col min="2061" max="2067" width="9.14285714285714" style="85"/>
    <col min="2068" max="2068" width="11.1428571428571" style="85" customWidth="1"/>
    <col min="2069" max="2069" width="12.4285714285714" style="85" customWidth="1"/>
    <col min="2070" max="2071" width="9.14285714285714" style="85"/>
    <col min="2072" max="2072" width="11.7142857142857" style="85" customWidth="1"/>
    <col min="2073" max="2073" width="11.4285714285714" style="85" customWidth="1"/>
    <col min="2074" max="2302" width="9.14285714285714" style="85"/>
    <col min="2303" max="2303" width="12.4285714285714" style="85" customWidth="1"/>
    <col min="2304" max="2304" width="9.14285714285714" style="85"/>
    <col min="2305" max="2305" width="15.8571428571429" style="85" customWidth="1"/>
    <col min="2306" max="2306" width="3.42857142857143" style="85" customWidth="1"/>
    <col min="2307" max="2307" width="13" style="85" customWidth="1"/>
    <col min="2308" max="2314" width="9.14285714285714" style="85"/>
    <col min="2315" max="2315" width="13.4285714285714" style="85" customWidth="1"/>
    <col min="2316" max="2316" width="15" style="85" customWidth="1"/>
    <col min="2317" max="2323" width="9.14285714285714" style="85"/>
    <col min="2324" max="2324" width="11.1428571428571" style="85" customWidth="1"/>
    <col min="2325" max="2325" width="12.4285714285714" style="85" customWidth="1"/>
    <col min="2326" max="2327" width="9.14285714285714" style="85"/>
    <col min="2328" max="2328" width="11.7142857142857" style="85" customWidth="1"/>
    <col min="2329" max="2329" width="11.4285714285714" style="85" customWidth="1"/>
    <col min="2330" max="2558" width="9.14285714285714" style="85"/>
    <col min="2559" max="2559" width="12.4285714285714" style="85" customWidth="1"/>
    <col min="2560" max="2560" width="9.14285714285714" style="85"/>
    <col min="2561" max="2561" width="15.8571428571429" style="85" customWidth="1"/>
    <col min="2562" max="2562" width="3.42857142857143" style="85" customWidth="1"/>
    <col min="2563" max="2563" width="13" style="85" customWidth="1"/>
    <col min="2564" max="2570" width="9.14285714285714" style="85"/>
    <col min="2571" max="2571" width="13.4285714285714" style="85" customWidth="1"/>
    <col min="2572" max="2572" width="15" style="85" customWidth="1"/>
    <col min="2573" max="2579" width="9.14285714285714" style="85"/>
    <col min="2580" max="2580" width="11.1428571428571" style="85" customWidth="1"/>
    <col min="2581" max="2581" width="12.4285714285714" style="85" customWidth="1"/>
    <col min="2582" max="2583" width="9.14285714285714" style="85"/>
    <col min="2584" max="2584" width="11.7142857142857" style="85" customWidth="1"/>
    <col min="2585" max="2585" width="11.4285714285714" style="85" customWidth="1"/>
    <col min="2586" max="2814" width="9.14285714285714" style="85"/>
    <col min="2815" max="2815" width="12.4285714285714" style="85" customWidth="1"/>
    <col min="2816" max="2816" width="9.14285714285714" style="85"/>
    <col min="2817" max="2817" width="15.8571428571429" style="85" customWidth="1"/>
    <col min="2818" max="2818" width="3.42857142857143" style="85" customWidth="1"/>
    <col min="2819" max="2819" width="13" style="85" customWidth="1"/>
    <col min="2820" max="2826" width="9.14285714285714" style="85"/>
    <col min="2827" max="2827" width="13.4285714285714" style="85" customWidth="1"/>
    <col min="2828" max="2828" width="15" style="85" customWidth="1"/>
    <col min="2829" max="2835" width="9.14285714285714" style="85"/>
    <col min="2836" max="2836" width="11.1428571428571" style="85" customWidth="1"/>
    <col min="2837" max="2837" width="12.4285714285714" style="85" customWidth="1"/>
    <col min="2838" max="2839" width="9.14285714285714" style="85"/>
    <col min="2840" max="2840" width="11.7142857142857" style="85" customWidth="1"/>
    <col min="2841" max="2841" width="11.4285714285714" style="85" customWidth="1"/>
    <col min="2842" max="3070" width="9.14285714285714" style="85"/>
    <col min="3071" max="3071" width="12.4285714285714" style="85" customWidth="1"/>
    <col min="3072" max="3072" width="9.14285714285714" style="85"/>
    <col min="3073" max="3073" width="15.8571428571429" style="85" customWidth="1"/>
    <col min="3074" max="3074" width="3.42857142857143" style="85" customWidth="1"/>
    <col min="3075" max="3075" width="13" style="85" customWidth="1"/>
    <col min="3076" max="3082" width="9.14285714285714" style="85"/>
    <col min="3083" max="3083" width="13.4285714285714" style="85" customWidth="1"/>
    <col min="3084" max="3084" width="15" style="85" customWidth="1"/>
    <col min="3085" max="3091" width="9.14285714285714" style="85"/>
    <col min="3092" max="3092" width="11.1428571428571" style="85" customWidth="1"/>
    <col min="3093" max="3093" width="12.4285714285714" style="85" customWidth="1"/>
    <col min="3094" max="3095" width="9.14285714285714" style="85"/>
    <col min="3096" max="3096" width="11.7142857142857" style="85" customWidth="1"/>
    <col min="3097" max="3097" width="11.4285714285714" style="85" customWidth="1"/>
    <col min="3098" max="3326" width="9.14285714285714" style="85"/>
    <col min="3327" max="3327" width="12.4285714285714" style="85" customWidth="1"/>
    <col min="3328" max="3328" width="9.14285714285714" style="85"/>
    <col min="3329" max="3329" width="15.8571428571429" style="85" customWidth="1"/>
    <col min="3330" max="3330" width="3.42857142857143" style="85" customWidth="1"/>
    <col min="3331" max="3331" width="13" style="85" customWidth="1"/>
    <col min="3332" max="3338" width="9.14285714285714" style="85"/>
    <col min="3339" max="3339" width="13.4285714285714" style="85" customWidth="1"/>
    <col min="3340" max="3340" width="15" style="85" customWidth="1"/>
    <col min="3341" max="3347" width="9.14285714285714" style="85"/>
    <col min="3348" max="3348" width="11.1428571428571" style="85" customWidth="1"/>
    <col min="3349" max="3349" width="12.4285714285714" style="85" customWidth="1"/>
    <col min="3350" max="3351" width="9.14285714285714" style="85"/>
    <col min="3352" max="3352" width="11.7142857142857" style="85" customWidth="1"/>
    <col min="3353" max="3353" width="11.4285714285714" style="85" customWidth="1"/>
    <col min="3354" max="3582" width="9.14285714285714" style="85"/>
    <col min="3583" max="3583" width="12.4285714285714" style="85" customWidth="1"/>
    <col min="3584" max="3584" width="9.14285714285714" style="85"/>
    <col min="3585" max="3585" width="15.8571428571429" style="85" customWidth="1"/>
    <col min="3586" max="3586" width="3.42857142857143" style="85" customWidth="1"/>
    <col min="3587" max="3587" width="13" style="85" customWidth="1"/>
    <col min="3588" max="3594" width="9.14285714285714" style="85"/>
    <col min="3595" max="3595" width="13.4285714285714" style="85" customWidth="1"/>
    <col min="3596" max="3596" width="15" style="85" customWidth="1"/>
    <col min="3597" max="3603" width="9.14285714285714" style="85"/>
    <col min="3604" max="3604" width="11.1428571428571" style="85" customWidth="1"/>
    <col min="3605" max="3605" width="12.4285714285714" style="85" customWidth="1"/>
    <col min="3606" max="3607" width="9.14285714285714" style="85"/>
    <col min="3608" max="3608" width="11.7142857142857" style="85" customWidth="1"/>
    <col min="3609" max="3609" width="11.4285714285714" style="85" customWidth="1"/>
    <col min="3610" max="3838" width="9.14285714285714" style="85"/>
    <col min="3839" max="3839" width="12.4285714285714" style="85" customWidth="1"/>
    <col min="3840" max="3840" width="9.14285714285714" style="85"/>
    <col min="3841" max="3841" width="15.8571428571429" style="85" customWidth="1"/>
    <col min="3842" max="3842" width="3.42857142857143" style="85" customWidth="1"/>
    <col min="3843" max="3843" width="13" style="85" customWidth="1"/>
    <col min="3844" max="3850" width="9.14285714285714" style="85"/>
    <col min="3851" max="3851" width="13.4285714285714" style="85" customWidth="1"/>
    <col min="3852" max="3852" width="15" style="85" customWidth="1"/>
    <col min="3853" max="3859" width="9.14285714285714" style="85"/>
    <col min="3860" max="3860" width="11.1428571428571" style="85" customWidth="1"/>
    <col min="3861" max="3861" width="12.4285714285714" style="85" customWidth="1"/>
    <col min="3862" max="3863" width="9.14285714285714" style="85"/>
    <col min="3864" max="3864" width="11.7142857142857" style="85" customWidth="1"/>
    <col min="3865" max="3865" width="11.4285714285714" style="85" customWidth="1"/>
    <col min="3866" max="4094" width="9.14285714285714" style="85"/>
    <col min="4095" max="4095" width="12.4285714285714" style="85" customWidth="1"/>
    <col min="4096" max="4096" width="9.14285714285714" style="85"/>
    <col min="4097" max="4097" width="15.8571428571429" style="85" customWidth="1"/>
    <col min="4098" max="4098" width="3.42857142857143" style="85" customWidth="1"/>
    <col min="4099" max="4099" width="13" style="85" customWidth="1"/>
    <col min="4100" max="4106" width="9.14285714285714" style="85"/>
    <col min="4107" max="4107" width="13.4285714285714" style="85" customWidth="1"/>
    <col min="4108" max="4108" width="15" style="85" customWidth="1"/>
    <col min="4109" max="4115" width="9.14285714285714" style="85"/>
    <col min="4116" max="4116" width="11.1428571428571" style="85" customWidth="1"/>
    <col min="4117" max="4117" width="12.4285714285714" style="85" customWidth="1"/>
    <col min="4118" max="4119" width="9.14285714285714" style="85"/>
    <col min="4120" max="4120" width="11.7142857142857" style="85" customWidth="1"/>
    <col min="4121" max="4121" width="11.4285714285714" style="85" customWidth="1"/>
    <col min="4122" max="4350" width="9.14285714285714" style="85"/>
    <col min="4351" max="4351" width="12.4285714285714" style="85" customWidth="1"/>
    <col min="4352" max="4352" width="9.14285714285714" style="85"/>
    <col min="4353" max="4353" width="15.8571428571429" style="85" customWidth="1"/>
    <col min="4354" max="4354" width="3.42857142857143" style="85" customWidth="1"/>
    <col min="4355" max="4355" width="13" style="85" customWidth="1"/>
    <col min="4356" max="4362" width="9.14285714285714" style="85"/>
    <col min="4363" max="4363" width="13.4285714285714" style="85" customWidth="1"/>
    <col min="4364" max="4364" width="15" style="85" customWidth="1"/>
    <col min="4365" max="4371" width="9.14285714285714" style="85"/>
    <col min="4372" max="4372" width="11.1428571428571" style="85" customWidth="1"/>
    <col min="4373" max="4373" width="12.4285714285714" style="85" customWidth="1"/>
    <col min="4374" max="4375" width="9.14285714285714" style="85"/>
    <col min="4376" max="4376" width="11.7142857142857" style="85" customWidth="1"/>
    <col min="4377" max="4377" width="11.4285714285714" style="85" customWidth="1"/>
    <col min="4378" max="4606" width="9.14285714285714" style="85"/>
    <col min="4607" max="4607" width="12.4285714285714" style="85" customWidth="1"/>
    <col min="4608" max="4608" width="9.14285714285714" style="85"/>
    <col min="4609" max="4609" width="15.8571428571429" style="85" customWidth="1"/>
    <col min="4610" max="4610" width="3.42857142857143" style="85" customWidth="1"/>
    <col min="4611" max="4611" width="13" style="85" customWidth="1"/>
    <col min="4612" max="4618" width="9.14285714285714" style="85"/>
    <col min="4619" max="4619" width="13.4285714285714" style="85" customWidth="1"/>
    <col min="4620" max="4620" width="15" style="85" customWidth="1"/>
    <col min="4621" max="4627" width="9.14285714285714" style="85"/>
    <col min="4628" max="4628" width="11.1428571428571" style="85" customWidth="1"/>
    <col min="4629" max="4629" width="12.4285714285714" style="85" customWidth="1"/>
    <col min="4630" max="4631" width="9.14285714285714" style="85"/>
    <col min="4632" max="4632" width="11.7142857142857" style="85" customWidth="1"/>
    <col min="4633" max="4633" width="11.4285714285714" style="85" customWidth="1"/>
    <col min="4634" max="4862" width="9.14285714285714" style="85"/>
    <col min="4863" max="4863" width="12.4285714285714" style="85" customWidth="1"/>
    <col min="4864" max="4864" width="9.14285714285714" style="85"/>
    <col min="4865" max="4865" width="15.8571428571429" style="85" customWidth="1"/>
    <col min="4866" max="4866" width="3.42857142857143" style="85" customWidth="1"/>
    <col min="4867" max="4867" width="13" style="85" customWidth="1"/>
    <col min="4868" max="4874" width="9.14285714285714" style="85"/>
    <col min="4875" max="4875" width="13.4285714285714" style="85" customWidth="1"/>
    <col min="4876" max="4876" width="15" style="85" customWidth="1"/>
    <col min="4877" max="4883" width="9.14285714285714" style="85"/>
    <col min="4884" max="4884" width="11.1428571428571" style="85" customWidth="1"/>
    <col min="4885" max="4885" width="12.4285714285714" style="85" customWidth="1"/>
    <col min="4886" max="4887" width="9.14285714285714" style="85"/>
    <col min="4888" max="4888" width="11.7142857142857" style="85" customWidth="1"/>
    <col min="4889" max="4889" width="11.4285714285714" style="85" customWidth="1"/>
    <col min="4890" max="5118" width="9.14285714285714" style="85"/>
    <col min="5119" max="5119" width="12.4285714285714" style="85" customWidth="1"/>
    <col min="5120" max="5120" width="9.14285714285714" style="85"/>
    <col min="5121" max="5121" width="15.8571428571429" style="85" customWidth="1"/>
    <col min="5122" max="5122" width="3.42857142857143" style="85" customWidth="1"/>
    <col min="5123" max="5123" width="13" style="85" customWidth="1"/>
    <col min="5124" max="5130" width="9.14285714285714" style="85"/>
    <col min="5131" max="5131" width="13.4285714285714" style="85" customWidth="1"/>
    <col min="5132" max="5132" width="15" style="85" customWidth="1"/>
    <col min="5133" max="5139" width="9.14285714285714" style="85"/>
    <col min="5140" max="5140" width="11.1428571428571" style="85" customWidth="1"/>
    <col min="5141" max="5141" width="12.4285714285714" style="85" customWidth="1"/>
    <col min="5142" max="5143" width="9.14285714285714" style="85"/>
    <col min="5144" max="5144" width="11.7142857142857" style="85" customWidth="1"/>
    <col min="5145" max="5145" width="11.4285714285714" style="85" customWidth="1"/>
    <col min="5146" max="5374" width="9.14285714285714" style="85"/>
    <col min="5375" max="5375" width="12.4285714285714" style="85" customWidth="1"/>
    <col min="5376" max="5376" width="9.14285714285714" style="85"/>
    <col min="5377" max="5377" width="15.8571428571429" style="85" customWidth="1"/>
    <col min="5378" max="5378" width="3.42857142857143" style="85" customWidth="1"/>
    <col min="5379" max="5379" width="13" style="85" customWidth="1"/>
    <col min="5380" max="5386" width="9.14285714285714" style="85"/>
    <col min="5387" max="5387" width="13.4285714285714" style="85" customWidth="1"/>
    <col min="5388" max="5388" width="15" style="85" customWidth="1"/>
    <col min="5389" max="5395" width="9.14285714285714" style="85"/>
    <col min="5396" max="5396" width="11.1428571428571" style="85" customWidth="1"/>
    <col min="5397" max="5397" width="12.4285714285714" style="85" customWidth="1"/>
    <col min="5398" max="5399" width="9.14285714285714" style="85"/>
    <col min="5400" max="5400" width="11.7142857142857" style="85" customWidth="1"/>
    <col min="5401" max="5401" width="11.4285714285714" style="85" customWidth="1"/>
    <col min="5402" max="5630" width="9.14285714285714" style="85"/>
    <col min="5631" max="5631" width="12.4285714285714" style="85" customWidth="1"/>
    <col min="5632" max="5632" width="9.14285714285714" style="85"/>
    <col min="5633" max="5633" width="15.8571428571429" style="85" customWidth="1"/>
    <col min="5634" max="5634" width="3.42857142857143" style="85" customWidth="1"/>
    <col min="5635" max="5635" width="13" style="85" customWidth="1"/>
    <col min="5636" max="5642" width="9.14285714285714" style="85"/>
    <col min="5643" max="5643" width="13.4285714285714" style="85" customWidth="1"/>
    <col min="5644" max="5644" width="15" style="85" customWidth="1"/>
    <col min="5645" max="5651" width="9.14285714285714" style="85"/>
    <col min="5652" max="5652" width="11.1428571428571" style="85" customWidth="1"/>
    <col min="5653" max="5653" width="12.4285714285714" style="85" customWidth="1"/>
    <col min="5654" max="5655" width="9.14285714285714" style="85"/>
    <col min="5656" max="5656" width="11.7142857142857" style="85" customWidth="1"/>
    <col min="5657" max="5657" width="11.4285714285714" style="85" customWidth="1"/>
    <col min="5658" max="5886" width="9.14285714285714" style="85"/>
    <col min="5887" max="5887" width="12.4285714285714" style="85" customWidth="1"/>
    <col min="5888" max="5888" width="9.14285714285714" style="85"/>
    <col min="5889" max="5889" width="15.8571428571429" style="85" customWidth="1"/>
    <col min="5890" max="5890" width="3.42857142857143" style="85" customWidth="1"/>
    <col min="5891" max="5891" width="13" style="85" customWidth="1"/>
    <col min="5892" max="5898" width="9.14285714285714" style="85"/>
    <col min="5899" max="5899" width="13.4285714285714" style="85" customWidth="1"/>
    <col min="5900" max="5900" width="15" style="85" customWidth="1"/>
    <col min="5901" max="5907" width="9.14285714285714" style="85"/>
    <col min="5908" max="5908" width="11.1428571428571" style="85" customWidth="1"/>
    <col min="5909" max="5909" width="12.4285714285714" style="85" customWidth="1"/>
    <col min="5910" max="5911" width="9.14285714285714" style="85"/>
    <col min="5912" max="5912" width="11.7142857142857" style="85" customWidth="1"/>
    <col min="5913" max="5913" width="11.4285714285714" style="85" customWidth="1"/>
    <col min="5914" max="6142" width="9.14285714285714" style="85"/>
    <col min="6143" max="6143" width="12.4285714285714" style="85" customWidth="1"/>
    <col min="6144" max="6144" width="9.14285714285714" style="85"/>
    <col min="6145" max="6145" width="15.8571428571429" style="85" customWidth="1"/>
    <col min="6146" max="6146" width="3.42857142857143" style="85" customWidth="1"/>
    <col min="6147" max="6147" width="13" style="85" customWidth="1"/>
    <col min="6148" max="6154" width="9.14285714285714" style="85"/>
    <col min="6155" max="6155" width="13.4285714285714" style="85" customWidth="1"/>
    <col min="6156" max="6156" width="15" style="85" customWidth="1"/>
    <col min="6157" max="6163" width="9.14285714285714" style="85"/>
    <col min="6164" max="6164" width="11.1428571428571" style="85" customWidth="1"/>
    <col min="6165" max="6165" width="12.4285714285714" style="85" customWidth="1"/>
    <col min="6166" max="6167" width="9.14285714285714" style="85"/>
    <col min="6168" max="6168" width="11.7142857142857" style="85" customWidth="1"/>
    <col min="6169" max="6169" width="11.4285714285714" style="85" customWidth="1"/>
    <col min="6170" max="6398" width="9.14285714285714" style="85"/>
    <col min="6399" max="6399" width="12.4285714285714" style="85" customWidth="1"/>
    <col min="6400" max="6400" width="9.14285714285714" style="85"/>
    <col min="6401" max="6401" width="15.8571428571429" style="85" customWidth="1"/>
    <col min="6402" max="6402" width="3.42857142857143" style="85" customWidth="1"/>
    <col min="6403" max="6403" width="13" style="85" customWidth="1"/>
    <col min="6404" max="6410" width="9.14285714285714" style="85"/>
    <col min="6411" max="6411" width="13.4285714285714" style="85" customWidth="1"/>
    <col min="6412" max="6412" width="15" style="85" customWidth="1"/>
    <col min="6413" max="6419" width="9.14285714285714" style="85"/>
    <col min="6420" max="6420" width="11.1428571428571" style="85" customWidth="1"/>
    <col min="6421" max="6421" width="12.4285714285714" style="85" customWidth="1"/>
    <col min="6422" max="6423" width="9.14285714285714" style="85"/>
    <col min="6424" max="6424" width="11.7142857142857" style="85" customWidth="1"/>
    <col min="6425" max="6425" width="11.4285714285714" style="85" customWidth="1"/>
    <col min="6426" max="6654" width="9.14285714285714" style="85"/>
    <col min="6655" max="6655" width="12.4285714285714" style="85" customWidth="1"/>
    <col min="6656" max="6656" width="9.14285714285714" style="85"/>
    <col min="6657" max="6657" width="15.8571428571429" style="85" customWidth="1"/>
    <col min="6658" max="6658" width="3.42857142857143" style="85" customWidth="1"/>
    <col min="6659" max="6659" width="13" style="85" customWidth="1"/>
    <col min="6660" max="6666" width="9.14285714285714" style="85"/>
    <col min="6667" max="6667" width="13.4285714285714" style="85" customWidth="1"/>
    <col min="6668" max="6668" width="15" style="85" customWidth="1"/>
    <col min="6669" max="6675" width="9.14285714285714" style="85"/>
    <col min="6676" max="6676" width="11.1428571428571" style="85" customWidth="1"/>
    <col min="6677" max="6677" width="12.4285714285714" style="85" customWidth="1"/>
    <col min="6678" max="6679" width="9.14285714285714" style="85"/>
    <col min="6680" max="6680" width="11.7142857142857" style="85" customWidth="1"/>
    <col min="6681" max="6681" width="11.4285714285714" style="85" customWidth="1"/>
    <col min="6682" max="6910" width="9.14285714285714" style="85"/>
    <col min="6911" max="6911" width="12.4285714285714" style="85" customWidth="1"/>
    <col min="6912" max="6912" width="9.14285714285714" style="85"/>
    <col min="6913" max="6913" width="15.8571428571429" style="85" customWidth="1"/>
    <col min="6914" max="6914" width="3.42857142857143" style="85" customWidth="1"/>
    <col min="6915" max="6915" width="13" style="85" customWidth="1"/>
    <col min="6916" max="6922" width="9.14285714285714" style="85"/>
    <col min="6923" max="6923" width="13.4285714285714" style="85" customWidth="1"/>
    <col min="6924" max="6924" width="15" style="85" customWidth="1"/>
    <col min="6925" max="6931" width="9.14285714285714" style="85"/>
    <col min="6932" max="6932" width="11.1428571428571" style="85" customWidth="1"/>
    <col min="6933" max="6933" width="12.4285714285714" style="85" customWidth="1"/>
    <col min="6934" max="6935" width="9.14285714285714" style="85"/>
    <col min="6936" max="6936" width="11.7142857142857" style="85" customWidth="1"/>
    <col min="6937" max="6937" width="11.4285714285714" style="85" customWidth="1"/>
    <col min="6938" max="7166" width="9.14285714285714" style="85"/>
    <col min="7167" max="7167" width="12.4285714285714" style="85" customWidth="1"/>
    <col min="7168" max="7168" width="9.14285714285714" style="85"/>
    <col min="7169" max="7169" width="15.8571428571429" style="85" customWidth="1"/>
    <col min="7170" max="7170" width="3.42857142857143" style="85" customWidth="1"/>
    <col min="7171" max="7171" width="13" style="85" customWidth="1"/>
    <col min="7172" max="7178" width="9.14285714285714" style="85"/>
    <col min="7179" max="7179" width="13.4285714285714" style="85" customWidth="1"/>
    <col min="7180" max="7180" width="15" style="85" customWidth="1"/>
    <col min="7181" max="7187" width="9.14285714285714" style="85"/>
    <col min="7188" max="7188" width="11.1428571428571" style="85" customWidth="1"/>
    <col min="7189" max="7189" width="12.4285714285714" style="85" customWidth="1"/>
    <col min="7190" max="7191" width="9.14285714285714" style="85"/>
    <col min="7192" max="7192" width="11.7142857142857" style="85" customWidth="1"/>
    <col min="7193" max="7193" width="11.4285714285714" style="85" customWidth="1"/>
    <col min="7194" max="7422" width="9.14285714285714" style="85"/>
    <col min="7423" max="7423" width="12.4285714285714" style="85" customWidth="1"/>
    <col min="7424" max="7424" width="9.14285714285714" style="85"/>
    <col min="7425" max="7425" width="15.8571428571429" style="85" customWidth="1"/>
    <col min="7426" max="7426" width="3.42857142857143" style="85" customWidth="1"/>
    <col min="7427" max="7427" width="13" style="85" customWidth="1"/>
    <col min="7428" max="7434" width="9.14285714285714" style="85"/>
    <col min="7435" max="7435" width="13.4285714285714" style="85" customWidth="1"/>
    <col min="7436" max="7436" width="15" style="85" customWidth="1"/>
    <col min="7437" max="7443" width="9.14285714285714" style="85"/>
    <col min="7444" max="7444" width="11.1428571428571" style="85" customWidth="1"/>
    <col min="7445" max="7445" width="12.4285714285714" style="85" customWidth="1"/>
    <col min="7446" max="7447" width="9.14285714285714" style="85"/>
    <col min="7448" max="7448" width="11.7142857142857" style="85" customWidth="1"/>
    <col min="7449" max="7449" width="11.4285714285714" style="85" customWidth="1"/>
    <col min="7450" max="7678" width="9.14285714285714" style="85"/>
    <col min="7679" max="7679" width="12.4285714285714" style="85" customWidth="1"/>
    <col min="7680" max="7680" width="9.14285714285714" style="85"/>
    <col min="7681" max="7681" width="15.8571428571429" style="85" customWidth="1"/>
    <col min="7682" max="7682" width="3.42857142857143" style="85" customWidth="1"/>
    <col min="7683" max="7683" width="13" style="85" customWidth="1"/>
    <col min="7684" max="7690" width="9.14285714285714" style="85"/>
    <col min="7691" max="7691" width="13.4285714285714" style="85" customWidth="1"/>
    <col min="7692" max="7692" width="15" style="85" customWidth="1"/>
    <col min="7693" max="7699" width="9.14285714285714" style="85"/>
    <col min="7700" max="7700" width="11.1428571428571" style="85" customWidth="1"/>
    <col min="7701" max="7701" width="12.4285714285714" style="85" customWidth="1"/>
    <col min="7702" max="7703" width="9.14285714285714" style="85"/>
    <col min="7704" max="7704" width="11.7142857142857" style="85" customWidth="1"/>
    <col min="7705" max="7705" width="11.4285714285714" style="85" customWidth="1"/>
    <col min="7706" max="7934" width="9.14285714285714" style="85"/>
    <col min="7935" max="7935" width="12.4285714285714" style="85" customWidth="1"/>
    <col min="7936" max="7936" width="9.14285714285714" style="85"/>
    <col min="7937" max="7937" width="15.8571428571429" style="85" customWidth="1"/>
    <col min="7938" max="7938" width="3.42857142857143" style="85" customWidth="1"/>
    <col min="7939" max="7939" width="13" style="85" customWidth="1"/>
    <col min="7940" max="7946" width="9.14285714285714" style="85"/>
    <col min="7947" max="7947" width="13.4285714285714" style="85" customWidth="1"/>
    <col min="7948" max="7948" width="15" style="85" customWidth="1"/>
    <col min="7949" max="7955" width="9.14285714285714" style="85"/>
    <col min="7956" max="7956" width="11.1428571428571" style="85" customWidth="1"/>
    <col min="7957" max="7957" width="12.4285714285714" style="85" customWidth="1"/>
    <col min="7958" max="7959" width="9.14285714285714" style="85"/>
    <col min="7960" max="7960" width="11.7142857142857" style="85" customWidth="1"/>
    <col min="7961" max="7961" width="11.4285714285714" style="85" customWidth="1"/>
    <col min="7962" max="8190" width="9.14285714285714" style="85"/>
    <col min="8191" max="8191" width="12.4285714285714" style="85" customWidth="1"/>
    <col min="8192" max="8192" width="9.14285714285714" style="85"/>
    <col min="8193" max="8193" width="15.8571428571429" style="85" customWidth="1"/>
    <col min="8194" max="8194" width="3.42857142857143" style="85" customWidth="1"/>
    <col min="8195" max="8195" width="13" style="85" customWidth="1"/>
    <col min="8196" max="8202" width="9.14285714285714" style="85"/>
    <col min="8203" max="8203" width="13.4285714285714" style="85" customWidth="1"/>
    <col min="8204" max="8204" width="15" style="85" customWidth="1"/>
    <col min="8205" max="8211" width="9.14285714285714" style="85"/>
    <col min="8212" max="8212" width="11.1428571428571" style="85" customWidth="1"/>
    <col min="8213" max="8213" width="12.4285714285714" style="85" customWidth="1"/>
    <col min="8214" max="8215" width="9.14285714285714" style="85"/>
    <col min="8216" max="8216" width="11.7142857142857" style="85" customWidth="1"/>
    <col min="8217" max="8217" width="11.4285714285714" style="85" customWidth="1"/>
    <col min="8218" max="8446" width="9.14285714285714" style="85"/>
    <col min="8447" max="8447" width="12.4285714285714" style="85" customWidth="1"/>
    <col min="8448" max="8448" width="9.14285714285714" style="85"/>
    <col min="8449" max="8449" width="15.8571428571429" style="85" customWidth="1"/>
    <col min="8450" max="8450" width="3.42857142857143" style="85" customWidth="1"/>
    <col min="8451" max="8451" width="13" style="85" customWidth="1"/>
    <col min="8452" max="8458" width="9.14285714285714" style="85"/>
    <col min="8459" max="8459" width="13.4285714285714" style="85" customWidth="1"/>
    <col min="8460" max="8460" width="15" style="85" customWidth="1"/>
    <col min="8461" max="8467" width="9.14285714285714" style="85"/>
    <col min="8468" max="8468" width="11.1428571428571" style="85" customWidth="1"/>
    <col min="8469" max="8469" width="12.4285714285714" style="85" customWidth="1"/>
    <col min="8470" max="8471" width="9.14285714285714" style="85"/>
    <col min="8472" max="8472" width="11.7142857142857" style="85" customWidth="1"/>
    <col min="8473" max="8473" width="11.4285714285714" style="85" customWidth="1"/>
    <col min="8474" max="8702" width="9.14285714285714" style="85"/>
    <col min="8703" max="8703" width="12.4285714285714" style="85" customWidth="1"/>
    <col min="8704" max="8704" width="9.14285714285714" style="85"/>
    <col min="8705" max="8705" width="15.8571428571429" style="85" customWidth="1"/>
    <col min="8706" max="8706" width="3.42857142857143" style="85" customWidth="1"/>
    <col min="8707" max="8707" width="13" style="85" customWidth="1"/>
    <col min="8708" max="8714" width="9.14285714285714" style="85"/>
    <col min="8715" max="8715" width="13.4285714285714" style="85" customWidth="1"/>
    <col min="8716" max="8716" width="15" style="85" customWidth="1"/>
    <col min="8717" max="8723" width="9.14285714285714" style="85"/>
    <col min="8724" max="8724" width="11.1428571428571" style="85" customWidth="1"/>
    <col min="8725" max="8725" width="12.4285714285714" style="85" customWidth="1"/>
    <col min="8726" max="8727" width="9.14285714285714" style="85"/>
    <col min="8728" max="8728" width="11.7142857142857" style="85" customWidth="1"/>
    <col min="8729" max="8729" width="11.4285714285714" style="85" customWidth="1"/>
    <col min="8730" max="8958" width="9.14285714285714" style="85"/>
    <col min="8959" max="8959" width="12.4285714285714" style="85" customWidth="1"/>
    <col min="8960" max="8960" width="9.14285714285714" style="85"/>
    <col min="8961" max="8961" width="15.8571428571429" style="85" customWidth="1"/>
    <col min="8962" max="8962" width="3.42857142857143" style="85" customWidth="1"/>
    <col min="8963" max="8963" width="13" style="85" customWidth="1"/>
    <col min="8964" max="8970" width="9.14285714285714" style="85"/>
    <col min="8971" max="8971" width="13.4285714285714" style="85" customWidth="1"/>
    <col min="8972" max="8972" width="15" style="85" customWidth="1"/>
    <col min="8973" max="8979" width="9.14285714285714" style="85"/>
    <col min="8980" max="8980" width="11.1428571428571" style="85" customWidth="1"/>
    <col min="8981" max="8981" width="12.4285714285714" style="85" customWidth="1"/>
    <col min="8982" max="8983" width="9.14285714285714" style="85"/>
    <col min="8984" max="8984" width="11.7142857142857" style="85" customWidth="1"/>
    <col min="8985" max="8985" width="11.4285714285714" style="85" customWidth="1"/>
    <col min="8986" max="9214" width="9.14285714285714" style="85"/>
    <col min="9215" max="9215" width="12.4285714285714" style="85" customWidth="1"/>
    <col min="9216" max="9216" width="9.14285714285714" style="85"/>
    <col min="9217" max="9217" width="15.8571428571429" style="85" customWidth="1"/>
    <col min="9218" max="9218" width="3.42857142857143" style="85" customWidth="1"/>
    <col min="9219" max="9219" width="13" style="85" customWidth="1"/>
    <col min="9220" max="9226" width="9.14285714285714" style="85"/>
    <col min="9227" max="9227" width="13.4285714285714" style="85" customWidth="1"/>
    <col min="9228" max="9228" width="15" style="85" customWidth="1"/>
    <col min="9229" max="9235" width="9.14285714285714" style="85"/>
    <col min="9236" max="9236" width="11.1428571428571" style="85" customWidth="1"/>
    <col min="9237" max="9237" width="12.4285714285714" style="85" customWidth="1"/>
    <col min="9238" max="9239" width="9.14285714285714" style="85"/>
    <col min="9240" max="9240" width="11.7142857142857" style="85" customWidth="1"/>
    <col min="9241" max="9241" width="11.4285714285714" style="85" customWidth="1"/>
    <col min="9242" max="9470" width="9.14285714285714" style="85"/>
    <col min="9471" max="9471" width="12.4285714285714" style="85" customWidth="1"/>
    <col min="9472" max="9472" width="9.14285714285714" style="85"/>
    <col min="9473" max="9473" width="15.8571428571429" style="85" customWidth="1"/>
    <col min="9474" max="9474" width="3.42857142857143" style="85" customWidth="1"/>
    <col min="9475" max="9475" width="13" style="85" customWidth="1"/>
    <col min="9476" max="9482" width="9.14285714285714" style="85"/>
    <col min="9483" max="9483" width="13.4285714285714" style="85" customWidth="1"/>
    <col min="9484" max="9484" width="15" style="85" customWidth="1"/>
    <col min="9485" max="9491" width="9.14285714285714" style="85"/>
    <col min="9492" max="9492" width="11.1428571428571" style="85" customWidth="1"/>
    <col min="9493" max="9493" width="12.4285714285714" style="85" customWidth="1"/>
    <col min="9494" max="9495" width="9.14285714285714" style="85"/>
    <col min="9496" max="9496" width="11.7142857142857" style="85" customWidth="1"/>
    <col min="9497" max="9497" width="11.4285714285714" style="85" customWidth="1"/>
    <col min="9498" max="9726" width="9.14285714285714" style="85"/>
    <col min="9727" max="9727" width="12.4285714285714" style="85" customWidth="1"/>
    <col min="9728" max="9728" width="9.14285714285714" style="85"/>
    <col min="9729" max="9729" width="15.8571428571429" style="85" customWidth="1"/>
    <col min="9730" max="9730" width="3.42857142857143" style="85" customWidth="1"/>
    <col min="9731" max="9731" width="13" style="85" customWidth="1"/>
    <col min="9732" max="9738" width="9.14285714285714" style="85"/>
    <col min="9739" max="9739" width="13.4285714285714" style="85" customWidth="1"/>
    <col min="9740" max="9740" width="15" style="85" customWidth="1"/>
    <col min="9741" max="9747" width="9.14285714285714" style="85"/>
    <col min="9748" max="9748" width="11.1428571428571" style="85" customWidth="1"/>
    <col min="9749" max="9749" width="12.4285714285714" style="85" customWidth="1"/>
    <col min="9750" max="9751" width="9.14285714285714" style="85"/>
    <col min="9752" max="9752" width="11.7142857142857" style="85" customWidth="1"/>
    <col min="9753" max="9753" width="11.4285714285714" style="85" customWidth="1"/>
    <col min="9754" max="9982" width="9.14285714285714" style="85"/>
    <col min="9983" max="9983" width="12.4285714285714" style="85" customWidth="1"/>
    <col min="9984" max="9984" width="9.14285714285714" style="85"/>
    <col min="9985" max="9985" width="15.8571428571429" style="85" customWidth="1"/>
    <col min="9986" max="9986" width="3.42857142857143" style="85" customWidth="1"/>
    <col min="9987" max="9987" width="13" style="85" customWidth="1"/>
    <col min="9988" max="9994" width="9.14285714285714" style="85"/>
    <col min="9995" max="9995" width="13.4285714285714" style="85" customWidth="1"/>
    <col min="9996" max="9996" width="15" style="85" customWidth="1"/>
    <col min="9997" max="10003" width="9.14285714285714" style="85"/>
    <col min="10004" max="10004" width="11.1428571428571" style="85" customWidth="1"/>
    <col min="10005" max="10005" width="12.4285714285714" style="85" customWidth="1"/>
    <col min="10006" max="10007" width="9.14285714285714" style="85"/>
    <col min="10008" max="10008" width="11.7142857142857" style="85" customWidth="1"/>
    <col min="10009" max="10009" width="11.4285714285714" style="85" customWidth="1"/>
    <col min="10010" max="10238" width="9.14285714285714" style="85"/>
    <col min="10239" max="10239" width="12.4285714285714" style="85" customWidth="1"/>
    <col min="10240" max="10240" width="9.14285714285714" style="85"/>
    <col min="10241" max="10241" width="15.8571428571429" style="85" customWidth="1"/>
    <col min="10242" max="10242" width="3.42857142857143" style="85" customWidth="1"/>
    <col min="10243" max="10243" width="13" style="85" customWidth="1"/>
    <col min="10244" max="10250" width="9.14285714285714" style="85"/>
    <col min="10251" max="10251" width="13.4285714285714" style="85" customWidth="1"/>
    <col min="10252" max="10252" width="15" style="85" customWidth="1"/>
    <col min="10253" max="10259" width="9.14285714285714" style="85"/>
    <col min="10260" max="10260" width="11.1428571428571" style="85" customWidth="1"/>
    <col min="10261" max="10261" width="12.4285714285714" style="85" customWidth="1"/>
    <col min="10262" max="10263" width="9.14285714285714" style="85"/>
    <col min="10264" max="10264" width="11.7142857142857" style="85" customWidth="1"/>
    <col min="10265" max="10265" width="11.4285714285714" style="85" customWidth="1"/>
    <col min="10266" max="10494" width="9.14285714285714" style="85"/>
    <col min="10495" max="10495" width="12.4285714285714" style="85" customWidth="1"/>
    <col min="10496" max="10496" width="9.14285714285714" style="85"/>
    <col min="10497" max="10497" width="15.8571428571429" style="85" customWidth="1"/>
    <col min="10498" max="10498" width="3.42857142857143" style="85" customWidth="1"/>
    <col min="10499" max="10499" width="13" style="85" customWidth="1"/>
    <col min="10500" max="10506" width="9.14285714285714" style="85"/>
    <col min="10507" max="10507" width="13.4285714285714" style="85" customWidth="1"/>
    <col min="10508" max="10508" width="15" style="85" customWidth="1"/>
    <col min="10509" max="10515" width="9.14285714285714" style="85"/>
    <col min="10516" max="10516" width="11.1428571428571" style="85" customWidth="1"/>
    <col min="10517" max="10517" width="12.4285714285714" style="85" customWidth="1"/>
    <col min="10518" max="10519" width="9.14285714285714" style="85"/>
    <col min="10520" max="10520" width="11.7142857142857" style="85" customWidth="1"/>
    <col min="10521" max="10521" width="11.4285714285714" style="85" customWidth="1"/>
    <col min="10522" max="10750" width="9.14285714285714" style="85"/>
    <col min="10751" max="10751" width="12.4285714285714" style="85" customWidth="1"/>
    <col min="10752" max="10752" width="9.14285714285714" style="85"/>
    <col min="10753" max="10753" width="15.8571428571429" style="85" customWidth="1"/>
    <col min="10754" max="10754" width="3.42857142857143" style="85" customWidth="1"/>
    <col min="10755" max="10755" width="13" style="85" customWidth="1"/>
    <col min="10756" max="10762" width="9.14285714285714" style="85"/>
    <col min="10763" max="10763" width="13.4285714285714" style="85" customWidth="1"/>
    <col min="10764" max="10764" width="15" style="85" customWidth="1"/>
    <col min="10765" max="10771" width="9.14285714285714" style="85"/>
    <col min="10772" max="10772" width="11.1428571428571" style="85" customWidth="1"/>
    <col min="10773" max="10773" width="12.4285714285714" style="85" customWidth="1"/>
    <col min="10774" max="10775" width="9.14285714285714" style="85"/>
    <col min="10776" max="10776" width="11.7142857142857" style="85" customWidth="1"/>
    <col min="10777" max="10777" width="11.4285714285714" style="85" customWidth="1"/>
    <col min="10778" max="11006" width="9.14285714285714" style="85"/>
    <col min="11007" max="11007" width="12.4285714285714" style="85" customWidth="1"/>
    <col min="11008" max="11008" width="9.14285714285714" style="85"/>
    <col min="11009" max="11009" width="15.8571428571429" style="85" customWidth="1"/>
    <col min="11010" max="11010" width="3.42857142857143" style="85" customWidth="1"/>
    <col min="11011" max="11011" width="13" style="85" customWidth="1"/>
    <col min="11012" max="11018" width="9.14285714285714" style="85"/>
    <col min="11019" max="11019" width="13.4285714285714" style="85" customWidth="1"/>
    <col min="11020" max="11020" width="15" style="85" customWidth="1"/>
    <col min="11021" max="11027" width="9.14285714285714" style="85"/>
    <col min="11028" max="11028" width="11.1428571428571" style="85" customWidth="1"/>
    <col min="11029" max="11029" width="12.4285714285714" style="85" customWidth="1"/>
    <col min="11030" max="11031" width="9.14285714285714" style="85"/>
    <col min="11032" max="11032" width="11.7142857142857" style="85" customWidth="1"/>
    <col min="11033" max="11033" width="11.4285714285714" style="85" customWidth="1"/>
    <col min="11034" max="11262" width="9.14285714285714" style="85"/>
    <col min="11263" max="11263" width="12.4285714285714" style="85" customWidth="1"/>
    <col min="11264" max="11264" width="9.14285714285714" style="85"/>
    <col min="11265" max="11265" width="15.8571428571429" style="85" customWidth="1"/>
    <col min="11266" max="11266" width="3.42857142857143" style="85" customWidth="1"/>
    <col min="11267" max="11267" width="13" style="85" customWidth="1"/>
    <col min="11268" max="11274" width="9.14285714285714" style="85"/>
    <col min="11275" max="11275" width="13.4285714285714" style="85" customWidth="1"/>
    <col min="11276" max="11276" width="15" style="85" customWidth="1"/>
    <col min="11277" max="11283" width="9.14285714285714" style="85"/>
    <col min="11284" max="11284" width="11.1428571428571" style="85" customWidth="1"/>
    <col min="11285" max="11285" width="12.4285714285714" style="85" customWidth="1"/>
    <col min="11286" max="11287" width="9.14285714285714" style="85"/>
    <col min="11288" max="11288" width="11.7142857142857" style="85" customWidth="1"/>
    <col min="11289" max="11289" width="11.4285714285714" style="85" customWidth="1"/>
    <col min="11290" max="11518" width="9.14285714285714" style="85"/>
    <col min="11519" max="11519" width="12.4285714285714" style="85" customWidth="1"/>
    <col min="11520" max="11520" width="9.14285714285714" style="85"/>
    <col min="11521" max="11521" width="15.8571428571429" style="85" customWidth="1"/>
    <col min="11522" max="11522" width="3.42857142857143" style="85" customWidth="1"/>
    <col min="11523" max="11523" width="13" style="85" customWidth="1"/>
    <col min="11524" max="11530" width="9.14285714285714" style="85"/>
    <col min="11531" max="11531" width="13.4285714285714" style="85" customWidth="1"/>
    <col min="11532" max="11532" width="15" style="85" customWidth="1"/>
    <col min="11533" max="11539" width="9.14285714285714" style="85"/>
    <col min="11540" max="11540" width="11.1428571428571" style="85" customWidth="1"/>
    <col min="11541" max="11541" width="12.4285714285714" style="85" customWidth="1"/>
    <col min="11542" max="11543" width="9.14285714285714" style="85"/>
    <col min="11544" max="11544" width="11.7142857142857" style="85" customWidth="1"/>
    <col min="11545" max="11545" width="11.4285714285714" style="85" customWidth="1"/>
    <col min="11546" max="11774" width="9.14285714285714" style="85"/>
    <col min="11775" max="11775" width="12.4285714285714" style="85" customWidth="1"/>
    <col min="11776" max="11776" width="9.14285714285714" style="85"/>
    <col min="11777" max="11777" width="15.8571428571429" style="85" customWidth="1"/>
    <col min="11778" max="11778" width="3.42857142857143" style="85" customWidth="1"/>
    <col min="11779" max="11779" width="13" style="85" customWidth="1"/>
    <col min="11780" max="11786" width="9.14285714285714" style="85"/>
    <col min="11787" max="11787" width="13.4285714285714" style="85" customWidth="1"/>
    <col min="11788" max="11788" width="15" style="85" customWidth="1"/>
    <col min="11789" max="11795" width="9.14285714285714" style="85"/>
    <col min="11796" max="11796" width="11.1428571428571" style="85" customWidth="1"/>
    <col min="11797" max="11797" width="12.4285714285714" style="85" customWidth="1"/>
    <col min="11798" max="11799" width="9.14285714285714" style="85"/>
    <col min="11800" max="11800" width="11.7142857142857" style="85" customWidth="1"/>
    <col min="11801" max="11801" width="11.4285714285714" style="85" customWidth="1"/>
    <col min="11802" max="12030" width="9.14285714285714" style="85"/>
    <col min="12031" max="12031" width="12.4285714285714" style="85" customWidth="1"/>
    <col min="12032" max="12032" width="9.14285714285714" style="85"/>
    <col min="12033" max="12033" width="15.8571428571429" style="85" customWidth="1"/>
    <col min="12034" max="12034" width="3.42857142857143" style="85" customWidth="1"/>
    <col min="12035" max="12035" width="13" style="85" customWidth="1"/>
    <col min="12036" max="12042" width="9.14285714285714" style="85"/>
    <col min="12043" max="12043" width="13.4285714285714" style="85" customWidth="1"/>
    <col min="12044" max="12044" width="15" style="85" customWidth="1"/>
    <col min="12045" max="12051" width="9.14285714285714" style="85"/>
    <col min="12052" max="12052" width="11.1428571428571" style="85" customWidth="1"/>
    <col min="12053" max="12053" width="12.4285714285714" style="85" customWidth="1"/>
    <col min="12054" max="12055" width="9.14285714285714" style="85"/>
    <col min="12056" max="12056" width="11.7142857142857" style="85" customWidth="1"/>
    <col min="12057" max="12057" width="11.4285714285714" style="85" customWidth="1"/>
    <col min="12058" max="12286" width="9.14285714285714" style="85"/>
    <col min="12287" max="12287" width="12.4285714285714" style="85" customWidth="1"/>
    <col min="12288" max="12288" width="9.14285714285714" style="85"/>
    <col min="12289" max="12289" width="15.8571428571429" style="85" customWidth="1"/>
    <col min="12290" max="12290" width="3.42857142857143" style="85" customWidth="1"/>
    <col min="12291" max="12291" width="13" style="85" customWidth="1"/>
    <col min="12292" max="12298" width="9.14285714285714" style="85"/>
    <col min="12299" max="12299" width="13.4285714285714" style="85" customWidth="1"/>
    <col min="12300" max="12300" width="15" style="85" customWidth="1"/>
    <col min="12301" max="12307" width="9.14285714285714" style="85"/>
    <col min="12308" max="12308" width="11.1428571428571" style="85" customWidth="1"/>
    <col min="12309" max="12309" width="12.4285714285714" style="85" customWidth="1"/>
    <col min="12310" max="12311" width="9.14285714285714" style="85"/>
    <col min="12312" max="12312" width="11.7142857142857" style="85" customWidth="1"/>
    <col min="12313" max="12313" width="11.4285714285714" style="85" customWidth="1"/>
    <col min="12314" max="12542" width="9.14285714285714" style="85"/>
    <col min="12543" max="12543" width="12.4285714285714" style="85" customWidth="1"/>
    <col min="12544" max="12544" width="9.14285714285714" style="85"/>
    <col min="12545" max="12545" width="15.8571428571429" style="85" customWidth="1"/>
    <col min="12546" max="12546" width="3.42857142857143" style="85" customWidth="1"/>
    <col min="12547" max="12547" width="13" style="85" customWidth="1"/>
    <col min="12548" max="12554" width="9.14285714285714" style="85"/>
    <col min="12555" max="12555" width="13.4285714285714" style="85" customWidth="1"/>
    <col min="12556" max="12556" width="15" style="85" customWidth="1"/>
    <col min="12557" max="12563" width="9.14285714285714" style="85"/>
    <col min="12564" max="12564" width="11.1428571428571" style="85" customWidth="1"/>
    <col min="12565" max="12565" width="12.4285714285714" style="85" customWidth="1"/>
    <col min="12566" max="12567" width="9.14285714285714" style="85"/>
    <col min="12568" max="12568" width="11.7142857142857" style="85" customWidth="1"/>
    <col min="12569" max="12569" width="11.4285714285714" style="85" customWidth="1"/>
    <col min="12570" max="12798" width="9.14285714285714" style="85"/>
    <col min="12799" max="12799" width="12.4285714285714" style="85" customWidth="1"/>
    <col min="12800" max="12800" width="9.14285714285714" style="85"/>
    <col min="12801" max="12801" width="15.8571428571429" style="85" customWidth="1"/>
    <col min="12802" max="12802" width="3.42857142857143" style="85" customWidth="1"/>
    <col min="12803" max="12803" width="13" style="85" customWidth="1"/>
    <col min="12804" max="12810" width="9.14285714285714" style="85"/>
    <col min="12811" max="12811" width="13.4285714285714" style="85" customWidth="1"/>
    <col min="12812" max="12812" width="15" style="85" customWidth="1"/>
    <col min="12813" max="12819" width="9.14285714285714" style="85"/>
    <col min="12820" max="12820" width="11.1428571428571" style="85" customWidth="1"/>
    <col min="12821" max="12821" width="12.4285714285714" style="85" customWidth="1"/>
    <col min="12822" max="12823" width="9.14285714285714" style="85"/>
    <col min="12824" max="12824" width="11.7142857142857" style="85" customWidth="1"/>
    <col min="12825" max="12825" width="11.4285714285714" style="85" customWidth="1"/>
    <col min="12826" max="13054" width="9.14285714285714" style="85"/>
    <col min="13055" max="13055" width="12.4285714285714" style="85" customWidth="1"/>
    <col min="13056" max="13056" width="9.14285714285714" style="85"/>
    <col min="13057" max="13057" width="15.8571428571429" style="85" customWidth="1"/>
    <col min="13058" max="13058" width="3.42857142857143" style="85" customWidth="1"/>
    <col min="13059" max="13059" width="13" style="85" customWidth="1"/>
    <col min="13060" max="13066" width="9.14285714285714" style="85"/>
    <col min="13067" max="13067" width="13.4285714285714" style="85" customWidth="1"/>
    <col min="13068" max="13068" width="15" style="85" customWidth="1"/>
    <col min="13069" max="13075" width="9.14285714285714" style="85"/>
    <col min="13076" max="13076" width="11.1428571428571" style="85" customWidth="1"/>
    <col min="13077" max="13077" width="12.4285714285714" style="85" customWidth="1"/>
    <col min="13078" max="13079" width="9.14285714285714" style="85"/>
    <col min="13080" max="13080" width="11.7142857142857" style="85" customWidth="1"/>
    <col min="13081" max="13081" width="11.4285714285714" style="85" customWidth="1"/>
    <col min="13082" max="13310" width="9.14285714285714" style="85"/>
    <col min="13311" max="13311" width="12.4285714285714" style="85" customWidth="1"/>
    <col min="13312" max="13312" width="9.14285714285714" style="85"/>
    <col min="13313" max="13313" width="15.8571428571429" style="85" customWidth="1"/>
    <col min="13314" max="13314" width="3.42857142857143" style="85" customWidth="1"/>
    <col min="13315" max="13315" width="13" style="85" customWidth="1"/>
    <col min="13316" max="13322" width="9.14285714285714" style="85"/>
    <col min="13323" max="13323" width="13.4285714285714" style="85" customWidth="1"/>
    <col min="13324" max="13324" width="15" style="85" customWidth="1"/>
    <col min="13325" max="13331" width="9.14285714285714" style="85"/>
    <col min="13332" max="13332" width="11.1428571428571" style="85" customWidth="1"/>
    <col min="13333" max="13333" width="12.4285714285714" style="85" customWidth="1"/>
    <col min="13334" max="13335" width="9.14285714285714" style="85"/>
    <col min="13336" max="13336" width="11.7142857142857" style="85" customWidth="1"/>
    <col min="13337" max="13337" width="11.4285714285714" style="85" customWidth="1"/>
    <col min="13338" max="13566" width="9.14285714285714" style="85"/>
    <col min="13567" max="13567" width="12.4285714285714" style="85" customWidth="1"/>
    <col min="13568" max="13568" width="9.14285714285714" style="85"/>
    <col min="13569" max="13569" width="15.8571428571429" style="85" customWidth="1"/>
    <col min="13570" max="13570" width="3.42857142857143" style="85" customWidth="1"/>
    <col min="13571" max="13571" width="13" style="85" customWidth="1"/>
    <col min="13572" max="13578" width="9.14285714285714" style="85"/>
    <col min="13579" max="13579" width="13.4285714285714" style="85" customWidth="1"/>
    <col min="13580" max="13580" width="15" style="85" customWidth="1"/>
    <col min="13581" max="13587" width="9.14285714285714" style="85"/>
    <col min="13588" max="13588" width="11.1428571428571" style="85" customWidth="1"/>
    <col min="13589" max="13589" width="12.4285714285714" style="85" customWidth="1"/>
    <col min="13590" max="13591" width="9.14285714285714" style="85"/>
    <col min="13592" max="13592" width="11.7142857142857" style="85" customWidth="1"/>
    <col min="13593" max="13593" width="11.4285714285714" style="85" customWidth="1"/>
    <col min="13594" max="13822" width="9.14285714285714" style="85"/>
    <col min="13823" max="13823" width="12.4285714285714" style="85" customWidth="1"/>
    <col min="13824" max="13824" width="9.14285714285714" style="85"/>
    <col min="13825" max="13825" width="15.8571428571429" style="85" customWidth="1"/>
    <col min="13826" max="13826" width="3.42857142857143" style="85" customWidth="1"/>
    <col min="13827" max="13827" width="13" style="85" customWidth="1"/>
    <col min="13828" max="13834" width="9.14285714285714" style="85"/>
    <col min="13835" max="13835" width="13.4285714285714" style="85" customWidth="1"/>
    <col min="13836" max="13836" width="15" style="85" customWidth="1"/>
    <col min="13837" max="13843" width="9.14285714285714" style="85"/>
    <col min="13844" max="13844" width="11.1428571428571" style="85" customWidth="1"/>
    <col min="13845" max="13845" width="12.4285714285714" style="85" customWidth="1"/>
    <col min="13846" max="13847" width="9.14285714285714" style="85"/>
    <col min="13848" max="13848" width="11.7142857142857" style="85" customWidth="1"/>
    <col min="13849" max="13849" width="11.4285714285714" style="85" customWidth="1"/>
    <col min="13850" max="14078" width="9.14285714285714" style="85"/>
    <col min="14079" max="14079" width="12.4285714285714" style="85" customWidth="1"/>
    <col min="14080" max="14080" width="9.14285714285714" style="85"/>
    <col min="14081" max="14081" width="15.8571428571429" style="85" customWidth="1"/>
    <col min="14082" max="14082" width="3.42857142857143" style="85" customWidth="1"/>
    <col min="14083" max="14083" width="13" style="85" customWidth="1"/>
    <col min="14084" max="14090" width="9.14285714285714" style="85"/>
    <col min="14091" max="14091" width="13.4285714285714" style="85" customWidth="1"/>
    <col min="14092" max="14092" width="15" style="85" customWidth="1"/>
    <col min="14093" max="14099" width="9.14285714285714" style="85"/>
    <col min="14100" max="14100" width="11.1428571428571" style="85" customWidth="1"/>
    <col min="14101" max="14101" width="12.4285714285714" style="85" customWidth="1"/>
    <col min="14102" max="14103" width="9.14285714285714" style="85"/>
    <col min="14104" max="14104" width="11.7142857142857" style="85" customWidth="1"/>
    <col min="14105" max="14105" width="11.4285714285714" style="85" customWidth="1"/>
    <col min="14106" max="14334" width="9.14285714285714" style="85"/>
    <col min="14335" max="14335" width="12.4285714285714" style="85" customWidth="1"/>
    <col min="14336" max="14336" width="9.14285714285714" style="85"/>
    <col min="14337" max="14337" width="15.8571428571429" style="85" customWidth="1"/>
    <col min="14338" max="14338" width="3.42857142857143" style="85" customWidth="1"/>
    <col min="14339" max="14339" width="13" style="85" customWidth="1"/>
    <col min="14340" max="14346" width="9.14285714285714" style="85"/>
    <col min="14347" max="14347" width="13.4285714285714" style="85" customWidth="1"/>
    <col min="14348" max="14348" width="15" style="85" customWidth="1"/>
    <col min="14349" max="14355" width="9.14285714285714" style="85"/>
    <col min="14356" max="14356" width="11.1428571428571" style="85" customWidth="1"/>
    <col min="14357" max="14357" width="12.4285714285714" style="85" customWidth="1"/>
    <col min="14358" max="14359" width="9.14285714285714" style="85"/>
    <col min="14360" max="14360" width="11.7142857142857" style="85" customWidth="1"/>
    <col min="14361" max="14361" width="11.4285714285714" style="85" customWidth="1"/>
    <col min="14362" max="14590" width="9.14285714285714" style="85"/>
    <col min="14591" max="14591" width="12.4285714285714" style="85" customWidth="1"/>
    <col min="14592" max="14592" width="9.14285714285714" style="85"/>
    <col min="14593" max="14593" width="15.8571428571429" style="85" customWidth="1"/>
    <col min="14594" max="14594" width="3.42857142857143" style="85" customWidth="1"/>
    <col min="14595" max="14595" width="13" style="85" customWidth="1"/>
    <col min="14596" max="14602" width="9.14285714285714" style="85"/>
    <col min="14603" max="14603" width="13.4285714285714" style="85" customWidth="1"/>
    <col min="14604" max="14604" width="15" style="85" customWidth="1"/>
    <col min="14605" max="14611" width="9.14285714285714" style="85"/>
    <col min="14612" max="14612" width="11.1428571428571" style="85" customWidth="1"/>
    <col min="14613" max="14613" width="12.4285714285714" style="85" customWidth="1"/>
    <col min="14614" max="14615" width="9.14285714285714" style="85"/>
    <col min="14616" max="14616" width="11.7142857142857" style="85" customWidth="1"/>
    <col min="14617" max="14617" width="11.4285714285714" style="85" customWidth="1"/>
    <col min="14618" max="14846" width="9.14285714285714" style="85"/>
    <col min="14847" max="14847" width="12.4285714285714" style="85" customWidth="1"/>
    <col min="14848" max="14848" width="9.14285714285714" style="85"/>
    <col min="14849" max="14849" width="15.8571428571429" style="85" customWidth="1"/>
    <col min="14850" max="14850" width="3.42857142857143" style="85" customWidth="1"/>
    <col min="14851" max="14851" width="13" style="85" customWidth="1"/>
    <col min="14852" max="14858" width="9.14285714285714" style="85"/>
    <col min="14859" max="14859" width="13.4285714285714" style="85" customWidth="1"/>
    <col min="14860" max="14860" width="15" style="85" customWidth="1"/>
    <col min="14861" max="14867" width="9.14285714285714" style="85"/>
    <col min="14868" max="14868" width="11.1428571428571" style="85" customWidth="1"/>
    <col min="14869" max="14869" width="12.4285714285714" style="85" customWidth="1"/>
    <col min="14870" max="14871" width="9.14285714285714" style="85"/>
    <col min="14872" max="14872" width="11.7142857142857" style="85" customWidth="1"/>
    <col min="14873" max="14873" width="11.4285714285714" style="85" customWidth="1"/>
    <col min="14874" max="15102" width="9.14285714285714" style="85"/>
    <col min="15103" max="15103" width="12.4285714285714" style="85" customWidth="1"/>
    <col min="15104" max="15104" width="9.14285714285714" style="85"/>
    <col min="15105" max="15105" width="15.8571428571429" style="85" customWidth="1"/>
    <col min="15106" max="15106" width="3.42857142857143" style="85" customWidth="1"/>
    <col min="15107" max="15107" width="13" style="85" customWidth="1"/>
    <col min="15108" max="15114" width="9.14285714285714" style="85"/>
    <col min="15115" max="15115" width="13.4285714285714" style="85" customWidth="1"/>
    <col min="15116" max="15116" width="15" style="85" customWidth="1"/>
    <col min="15117" max="15123" width="9.14285714285714" style="85"/>
    <col min="15124" max="15124" width="11.1428571428571" style="85" customWidth="1"/>
    <col min="15125" max="15125" width="12.4285714285714" style="85" customWidth="1"/>
    <col min="15126" max="15127" width="9.14285714285714" style="85"/>
    <col min="15128" max="15128" width="11.7142857142857" style="85" customWidth="1"/>
    <col min="15129" max="15129" width="11.4285714285714" style="85" customWidth="1"/>
    <col min="15130" max="15358" width="9.14285714285714" style="85"/>
    <col min="15359" max="15359" width="12.4285714285714" style="85" customWidth="1"/>
    <col min="15360" max="15360" width="9.14285714285714" style="85"/>
    <col min="15361" max="15361" width="15.8571428571429" style="85" customWidth="1"/>
    <col min="15362" max="15362" width="3.42857142857143" style="85" customWidth="1"/>
    <col min="15363" max="15363" width="13" style="85" customWidth="1"/>
    <col min="15364" max="15370" width="9.14285714285714" style="85"/>
    <col min="15371" max="15371" width="13.4285714285714" style="85" customWidth="1"/>
    <col min="15372" max="15372" width="15" style="85" customWidth="1"/>
    <col min="15373" max="15379" width="9.14285714285714" style="85"/>
    <col min="15380" max="15380" width="11.1428571428571" style="85" customWidth="1"/>
    <col min="15381" max="15381" width="12.4285714285714" style="85" customWidth="1"/>
    <col min="15382" max="15383" width="9.14285714285714" style="85"/>
    <col min="15384" max="15384" width="11.7142857142857" style="85" customWidth="1"/>
    <col min="15385" max="15385" width="11.4285714285714" style="85" customWidth="1"/>
    <col min="15386" max="15614" width="9.14285714285714" style="85"/>
    <col min="15615" max="15615" width="12.4285714285714" style="85" customWidth="1"/>
    <col min="15616" max="15616" width="9.14285714285714" style="85"/>
    <col min="15617" max="15617" width="15.8571428571429" style="85" customWidth="1"/>
    <col min="15618" max="15618" width="3.42857142857143" style="85" customWidth="1"/>
    <col min="15619" max="15619" width="13" style="85" customWidth="1"/>
    <col min="15620" max="15626" width="9.14285714285714" style="85"/>
    <col min="15627" max="15627" width="13.4285714285714" style="85" customWidth="1"/>
    <col min="15628" max="15628" width="15" style="85" customWidth="1"/>
    <col min="15629" max="15635" width="9.14285714285714" style="85"/>
    <col min="15636" max="15636" width="11.1428571428571" style="85" customWidth="1"/>
    <col min="15637" max="15637" width="12.4285714285714" style="85" customWidth="1"/>
    <col min="15638" max="15639" width="9.14285714285714" style="85"/>
    <col min="15640" max="15640" width="11.7142857142857" style="85" customWidth="1"/>
    <col min="15641" max="15641" width="11.4285714285714" style="85" customWidth="1"/>
    <col min="15642" max="15870" width="9.14285714285714" style="85"/>
    <col min="15871" max="15871" width="12.4285714285714" style="85" customWidth="1"/>
    <col min="15872" max="15872" width="9.14285714285714" style="85"/>
    <col min="15873" max="15873" width="15.8571428571429" style="85" customWidth="1"/>
    <col min="15874" max="15874" width="3.42857142857143" style="85" customWidth="1"/>
    <col min="15875" max="15875" width="13" style="85" customWidth="1"/>
    <col min="15876" max="15882" width="9.14285714285714" style="85"/>
    <col min="15883" max="15883" width="13.4285714285714" style="85" customWidth="1"/>
    <col min="15884" max="15884" width="15" style="85" customWidth="1"/>
    <col min="15885" max="15891" width="9.14285714285714" style="85"/>
    <col min="15892" max="15892" width="11.1428571428571" style="85" customWidth="1"/>
    <col min="15893" max="15893" width="12.4285714285714" style="85" customWidth="1"/>
    <col min="15894" max="15895" width="9.14285714285714" style="85"/>
    <col min="15896" max="15896" width="11.7142857142857" style="85" customWidth="1"/>
    <col min="15897" max="15897" width="11.4285714285714" style="85" customWidth="1"/>
    <col min="15898" max="16126" width="9.14285714285714" style="85"/>
    <col min="16127" max="16127" width="12.4285714285714" style="85" customWidth="1"/>
    <col min="16128" max="16128" width="9.14285714285714" style="85"/>
    <col min="16129" max="16129" width="15.8571428571429" style="85" customWidth="1"/>
    <col min="16130" max="16130" width="3.42857142857143" style="85" customWidth="1"/>
    <col min="16131" max="16131" width="13" style="85" customWidth="1"/>
    <col min="16132" max="16138" width="9.14285714285714" style="85"/>
    <col min="16139" max="16139" width="13.4285714285714" style="85" customWidth="1"/>
    <col min="16140" max="16140" width="15" style="85" customWidth="1"/>
    <col min="16141" max="16147" width="9.14285714285714" style="85"/>
    <col min="16148" max="16148" width="11.1428571428571" style="85" customWidth="1"/>
    <col min="16149" max="16149" width="12.4285714285714" style="85" customWidth="1"/>
    <col min="16150" max="16151" width="9.14285714285714" style="85"/>
    <col min="16152" max="16152" width="11.7142857142857" style="85" customWidth="1"/>
    <col min="16153" max="16153" width="11.4285714285714" style="85" customWidth="1"/>
    <col min="16154" max="16384" width="9.14285714285714" style="85"/>
  </cols>
  <sheetData>
    <row r="1" spans="1:7">
      <c r="A1" s="85" t="s">
        <v>1629</v>
      </c>
      <c r="B1" s="149">
        <f>uxbWorks!B15</f>
        <v>38</v>
      </c>
      <c r="C1" s="149" t="str">
        <f>INDEX(luCountry,B1)</f>
        <v>Abu Dhabi</v>
      </c>
      <c r="D1" s="149"/>
      <c r="E1" s="149"/>
      <c r="G1" s="149"/>
    </row>
    <row r="2" spans="1:7">
      <c r="A2" s="85" t="s">
        <v>1630</v>
      </c>
      <c r="B2" s="149">
        <f>uxbWorks!B44</f>
        <v>40</v>
      </c>
      <c r="C2" s="149" t="str">
        <f>INDEX(luCountry,B2)</f>
        <v>Paris</v>
      </c>
      <c r="D2" s="149"/>
      <c r="E2" s="149"/>
      <c r="G2" s="149"/>
    </row>
    <row r="3" spans="1:7">
      <c r="A3" s="85" t="s">
        <v>1631</v>
      </c>
      <c r="B3" s="149"/>
      <c r="C3" s="149"/>
      <c r="D3" s="149"/>
      <c r="E3" s="149"/>
      <c r="G3" s="149"/>
    </row>
    <row r="4" spans="1:7">
      <c r="A4" s="85" t="s">
        <v>1632</v>
      </c>
      <c r="B4" s="149"/>
      <c r="C4" s="149"/>
      <c r="D4" s="149"/>
      <c r="E4" s="149"/>
      <c r="G4" s="149"/>
    </row>
    <row r="5" spans="1:57">
      <c r="A5" s="85" t="s">
        <v>1633</v>
      </c>
      <c r="B5" s="149">
        <f>uxbWorks!B5</f>
        <v>50</v>
      </c>
      <c r="C5" s="149"/>
      <c r="D5" s="149"/>
      <c r="E5" s="149"/>
      <c r="N5" s="85">
        <v>1</v>
      </c>
      <c r="O5" s="85">
        <v>2</v>
      </c>
      <c r="P5" s="85">
        <v>3</v>
      </c>
      <c r="Q5" s="85">
        <v>4</v>
      </c>
      <c r="R5" s="85">
        <v>5</v>
      </c>
      <c r="S5" s="85">
        <v>6</v>
      </c>
      <c r="T5" s="85">
        <v>7</v>
      </c>
      <c r="U5" s="85">
        <v>8</v>
      </c>
      <c r="V5" s="85">
        <v>9</v>
      </c>
      <c r="W5" s="85">
        <v>10</v>
      </c>
      <c r="X5" s="85">
        <v>11</v>
      </c>
      <c r="Y5" s="85">
        <v>12</v>
      </c>
      <c r="Z5" s="85">
        <v>13</v>
      </c>
      <c r="AA5" s="85">
        <v>14</v>
      </c>
      <c r="AB5" s="85">
        <v>15</v>
      </c>
      <c r="AC5" s="85">
        <v>16</v>
      </c>
      <c r="AD5" s="85">
        <v>17</v>
      </c>
      <c r="AE5" s="85">
        <v>18</v>
      </c>
      <c r="AF5" s="85">
        <v>19</v>
      </c>
      <c r="AG5" s="85">
        <v>20</v>
      </c>
      <c r="AH5" s="85">
        <v>21</v>
      </c>
      <c r="AI5" s="85">
        <v>22</v>
      </c>
      <c r="AJ5" s="85">
        <v>23</v>
      </c>
      <c r="AK5" s="85">
        <v>24</v>
      </c>
      <c r="AL5" s="85">
        <v>25</v>
      </c>
      <c r="AM5" s="85">
        <v>26</v>
      </c>
      <c r="AN5" s="85">
        <v>27</v>
      </c>
      <c r="AO5" s="85">
        <v>28</v>
      </c>
      <c r="AP5" s="85">
        <v>29</v>
      </c>
      <c r="AQ5" s="85">
        <v>30</v>
      </c>
      <c r="AR5" s="85">
        <v>31</v>
      </c>
      <c r="AS5" s="85">
        <v>32</v>
      </c>
      <c r="AT5" s="85">
        <v>33</v>
      </c>
      <c r="AU5" s="85">
        <v>34</v>
      </c>
      <c r="AV5" s="85">
        <v>35</v>
      </c>
      <c r="AW5" s="85">
        <v>36</v>
      </c>
      <c r="AX5" s="85">
        <v>37</v>
      </c>
      <c r="AY5" s="85">
        <v>38</v>
      </c>
      <c r="AZ5" s="85">
        <v>39</v>
      </c>
      <c r="BA5" s="85">
        <v>40</v>
      </c>
      <c r="BB5" s="85">
        <v>41</v>
      </c>
      <c r="BC5" s="85">
        <v>42</v>
      </c>
      <c r="BD5" s="85">
        <v>43</v>
      </c>
      <c r="BE5" s="85">
        <v>44</v>
      </c>
    </row>
    <row r="6" ht="15" spans="14:94">
      <c r="N6" t="str">
        <f>INDEX(tblIndiSets!$A$195:$A$238,N5,1)</f>
        <v>DIGSEC_IP_01</v>
      </c>
      <c r="O6" t="str">
        <f>INDEX(tblIndiSets!$A$195:$A$238,O5,1)</f>
        <v>DIGSEC_IP_02</v>
      </c>
      <c r="P6" t="str">
        <f>INDEX(tblIndiSets!$A$195:$A$238,P5,1)</f>
        <v>DIGSEC_IP_03</v>
      </c>
      <c r="Q6" t="str">
        <f>INDEX(tblIndiSets!$A$195:$A$238,Q5,1)</f>
        <v>DIGSEC_IP_04</v>
      </c>
      <c r="R6" t="str">
        <f>INDEX(tblIndiSets!$A$195:$A$238,R5,1)</f>
        <v>DIGSEC_IP_05</v>
      </c>
      <c r="S6" t="str">
        <f>INDEX(tblIndiSets!$A$195:$A$238,S5,1)</f>
        <v>DIGSEC_IP_06</v>
      </c>
      <c r="T6" t="str">
        <f>INDEX(tblIndiSets!$A$195:$A$238,T5,1)</f>
        <v>DIGSEC_OP_01</v>
      </c>
      <c r="U6" t="str">
        <f>INDEX(tblIndiSets!$A$195:$A$238,U5,1)</f>
        <v>DIGSEC_OP_02</v>
      </c>
      <c r="V6" t="str">
        <f>INDEX(tblIndiSets!$A$195:$A$238,V5,1)</f>
        <v>DIGSEC_OP_03</v>
      </c>
      <c r="W6" t="str">
        <f>INDEX(tblIndiSets!$A$195:$A$238,W5,1)</f>
        <v>HELSEC_IP_01</v>
      </c>
      <c r="X6" t="str">
        <f>INDEX(tblIndiSets!$A$195:$A$238,X5,1)</f>
        <v>HELSEC_IP_02</v>
      </c>
      <c r="Y6" t="str">
        <f>INDEX(tblIndiSets!$A$195:$A$238,Y5,1)</f>
        <v>HELSEC_IP_03</v>
      </c>
      <c r="Z6" t="str">
        <f>INDEX(tblIndiSets!$A$195:$A$238,Z5,1)</f>
        <v>HELSEC_IP_04</v>
      </c>
      <c r="AA6" t="str">
        <f>INDEX(tblIndiSets!$A$195:$A$238,AA5,1)</f>
        <v>HELSEC_IP_05</v>
      </c>
      <c r="AB6" t="str">
        <f>INDEX(tblIndiSets!$A$195:$A$238,AB5,1)</f>
        <v>HELSEC_IP_06</v>
      </c>
      <c r="AC6" t="str">
        <f>INDEX(tblIndiSets!$A$195:$A$238,AC5,1)</f>
        <v>HELSEC_OP_01</v>
      </c>
      <c r="AD6" t="str">
        <f>INDEX(tblIndiSets!$A$195:$A$238,AD5,1)</f>
        <v>HELSEC_OP_02</v>
      </c>
      <c r="AE6" t="str">
        <f>INDEX(tblIndiSets!$A$195:$A$238,AE5,1)</f>
        <v>HELSEC_OP_03</v>
      </c>
      <c r="AF6" t="str">
        <f>INDEX(tblIndiSets!$A$195:$A$238,AF5,1)</f>
        <v>HELSEC_OP_04</v>
      </c>
      <c r="AG6" t="str">
        <f>INDEX(tblIndiSets!$A$195:$A$238,AG5,1)</f>
        <v>HELSEC_OP_05</v>
      </c>
      <c r="AH6" t="str">
        <f>INDEX(tblIndiSets!$A$195:$A$238,AH5,1)</f>
        <v>INFSAF_IP_01</v>
      </c>
      <c r="AI6" t="str">
        <f>INDEX(tblIndiSets!$A$195:$A$238,AI5,1)</f>
        <v>INFSAF_IP_02</v>
      </c>
      <c r="AJ6" t="str">
        <f>INDEX(tblIndiSets!$A$195:$A$238,AJ5,1)</f>
        <v>INFSAF_IP_03</v>
      </c>
      <c r="AK6" t="str">
        <f>INDEX(tblIndiSets!$A$195:$A$238,AK5,1)</f>
        <v>INFSAF_IP_04</v>
      </c>
      <c r="AL6" t="str">
        <f>INDEX(tblIndiSets!$A$195:$A$238,AL5,1)</f>
        <v>INFSAF_IP_05</v>
      </c>
      <c r="AM6" t="str">
        <f>INDEX(tblIndiSets!$A$195:$A$238,AM5,1)</f>
        <v>INFSAF_OP_01</v>
      </c>
      <c r="AN6" t="str">
        <f>INDEX(tblIndiSets!$A$195:$A$238,AN5,1)</f>
        <v>INFSAF_OP_02</v>
      </c>
      <c r="AO6" t="str">
        <f>INDEX(tblIndiSets!$A$195:$A$238,AO5,1)</f>
        <v>INFSAF_OP_03</v>
      </c>
      <c r="AP6" t="str">
        <f>INDEX(tblIndiSets!$A$195:$A$238,AP5,1)</f>
        <v>INFSAF_OP_04</v>
      </c>
      <c r="AQ6" t="str">
        <f>INDEX(tblIndiSets!$A$195:$A$238,AQ5,1)</f>
        <v>PERSAF_IP_01</v>
      </c>
      <c r="AR6" t="str">
        <f>INDEX(tblIndiSets!$A$195:$A$238,AR5,1)</f>
        <v>PERSAF_IP_02</v>
      </c>
      <c r="AS6" t="str">
        <f>INDEX(tblIndiSets!$A$195:$A$238,AS5,1)</f>
        <v>PERSAF_IP_03</v>
      </c>
      <c r="AT6" t="str">
        <f>INDEX(tblIndiSets!$A$195:$A$238,AT5,1)</f>
        <v>PERSAF_IP_04</v>
      </c>
      <c r="AU6" t="str">
        <f>INDEX(tblIndiSets!$A$195:$A$238,AU5,1)</f>
        <v>PERSAF_IP_05</v>
      </c>
      <c r="AV6" t="str">
        <f>INDEX(tblIndiSets!$A$195:$A$238,AV5,1)</f>
        <v>PERSAF_IP_06</v>
      </c>
      <c r="AW6" t="str">
        <f>INDEX(tblIndiSets!$A$195:$A$238,AW5,1)</f>
        <v>PERSAF_IP_07</v>
      </c>
      <c r="AX6" t="str">
        <f>INDEX(tblIndiSets!$A$195:$A$238,AX5,1)</f>
        <v>PERSAF_OP_01</v>
      </c>
      <c r="AY6" t="str">
        <f>INDEX(tblIndiSets!$A$195:$A$238,AY5,1)</f>
        <v>PERSAF_OP_02</v>
      </c>
      <c r="AZ6" t="str">
        <f>INDEX(tblIndiSets!$A$195:$A$238,AZ5,1)</f>
        <v>PERSAF_OP_03</v>
      </c>
      <c r="BA6" t="str">
        <f>INDEX(tblIndiSets!$A$195:$A$238,BA5,1)</f>
        <v>PERSAF_OP_04</v>
      </c>
      <c r="BB6" t="str">
        <f>INDEX(tblIndiSets!$A$195:$A$238,BB5,1)</f>
        <v>PERSAF_OP_05</v>
      </c>
      <c r="BC6" t="str">
        <f>INDEX(tblIndiSets!$A$195:$A$238,BC5,1)</f>
        <v>PERSAF_OP_07</v>
      </c>
      <c r="BD6" t="str">
        <f>INDEX(tblIndiSets!$A$195:$A$238,BD5,1)</f>
        <v>PERSAF_OP_08</v>
      </c>
      <c r="BE6" t="str">
        <f>INDEX(tblIndiSets!$A$195:$A$238,BE5,1)</f>
        <v>PERSAF_OP_09</v>
      </c>
      <c r="BF6"/>
      <c r="BG6"/>
      <c r="BH6"/>
      <c r="BI6"/>
      <c r="BJ6"/>
      <c r="BK6"/>
      <c r="BL6"/>
      <c r="BM6"/>
      <c r="BN6"/>
      <c r="BO6"/>
      <c r="BP6"/>
      <c r="BQ6"/>
      <c r="BR6"/>
      <c r="BS6"/>
      <c r="BT6"/>
      <c r="BU6"/>
      <c r="BV6"/>
      <c r="BW6"/>
      <c r="BX6"/>
      <c r="BY6"/>
      <c r="BZ6"/>
      <c r="CA6"/>
      <c r="CB6"/>
      <c r="CC6"/>
      <c r="CD6"/>
      <c r="CE6"/>
      <c r="CF6"/>
      <c r="CG6"/>
      <c r="CH6"/>
      <c r="CI6"/>
      <c r="CJ6"/>
      <c r="CK6"/>
      <c r="CL6"/>
      <c r="CM6"/>
      <c r="CN6"/>
      <c r="CO6"/>
      <c r="CP6"/>
    </row>
    <row r="7" spans="14:57">
      <c r="N7" s="85">
        <f>MATCH(N6,tblIndicators!$B$2:$B$58,0)</f>
        <v>4</v>
      </c>
      <c r="O7" s="85">
        <f>MATCH(O6,tblIndicators!$B$2:$B$58,0)</f>
        <v>5</v>
      </c>
      <c r="P7" s="85">
        <f>MATCH(P6,tblIndicators!$B$2:$B$58,0)</f>
        <v>6</v>
      </c>
      <c r="Q7" s="85">
        <f>MATCH(Q6,tblIndicators!$B$2:$B$58,0)</f>
        <v>7</v>
      </c>
      <c r="R7" s="85">
        <f>MATCH(R6,tblIndicators!$B$2:$B$58,0)</f>
        <v>8</v>
      </c>
      <c r="S7" s="85">
        <f>MATCH(S6,tblIndicators!$B$2:$B$58,0)</f>
        <v>9</v>
      </c>
      <c r="T7" s="85">
        <f>MATCH(T6,tblIndicators!$B$2:$B$58,0)</f>
        <v>11</v>
      </c>
      <c r="U7" s="85">
        <f>MATCH(U6,tblIndicators!$B$2:$B$58,0)</f>
        <v>12</v>
      </c>
      <c r="V7" s="85">
        <f>MATCH(V6,tblIndicators!$B$2:$B$58,0)</f>
        <v>13</v>
      </c>
      <c r="W7" s="85">
        <f>MATCH(W6,tblIndicators!$B$2:$B$58,0)</f>
        <v>16</v>
      </c>
      <c r="X7" s="85">
        <f>MATCH(X6,tblIndicators!$B$2:$B$58,0)</f>
        <v>17</v>
      </c>
      <c r="Y7" s="85">
        <f>MATCH(Y6,tblIndicators!$B$2:$B$58,0)</f>
        <v>18</v>
      </c>
      <c r="Z7" s="85">
        <f>MATCH(Z6,tblIndicators!$B$2:$B$58,0)</f>
        <v>19</v>
      </c>
      <c r="AA7" s="85">
        <f>MATCH(AA6,tblIndicators!$B$2:$B$58,0)</f>
        <v>20</v>
      </c>
      <c r="AB7" s="85">
        <f>MATCH(AB6,tblIndicators!$B$2:$B$58,0)</f>
        <v>21</v>
      </c>
      <c r="AC7" s="85">
        <f>MATCH(AC6,tblIndicators!$B$2:$B$58,0)</f>
        <v>23</v>
      </c>
      <c r="AD7" s="85">
        <f>MATCH(AD6,tblIndicators!$B$2:$B$58,0)</f>
        <v>24</v>
      </c>
      <c r="AE7" s="85">
        <f>MATCH(AE6,tblIndicators!$B$2:$B$58,0)</f>
        <v>25</v>
      </c>
      <c r="AF7" s="85">
        <f>MATCH(AF6,tblIndicators!$B$2:$B$58,0)</f>
        <v>26</v>
      </c>
      <c r="AG7" s="85">
        <f>MATCH(AG6,tblIndicators!$B$2:$B$58,0)</f>
        <v>27</v>
      </c>
      <c r="AH7" s="85">
        <f>MATCH(AH6,tblIndicators!$B$2:$B$58,0)</f>
        <v>30</v>
      </c>
      <c r="AI7" s="85">
        <f>MATCH(AI6,tblIndicators!$B$2:$B$58,0)</f>
        <v>31</v>
      </c>
      <c r="AJ7" s="85">
        <f>MATCH(AJ6,tblIndicators!$B$2:$B$58,0)</f>
        <v>32</v>
      </c>
      <c r="AK7" s="85">
        <f>MATCH(AK6,tblIndicators!$B$2:$B$58,0)</f>
        <v>33</v>
      </c>
      <c r="AL7" s="85">
        <f>MATCH(AL6,tblIndicators!$B$2:$B$58,0)</f>
        <v>34</v>
      </c>
      <c r="AM7" s="85">
        <f>MATCH(AM6,tblIndicators!$B$2:$B$58,0)</f>
        <v>36</v>
      </c>
      <c r="AN7" s="85">
        <f>MATCH(AN6,tblIndicators!$B$2:$B$58,0)</f>
        <v>37</v>
      </c>
      <c r="AO7" s="85">
        <f>MATCH(AO6,tblIndicators!$B$2:$B$58,0)</f>
        <v>38</v>
      </c>
      <c r="AP7" s="85">
        <f>MATCH(AP6,tblIndicators!$B$2:$B$58,0)</f>
        <v>39</v>
      </c>
      <c r="AQ7" s="85">
        <f>MATCH(AQ6,tblIndicators!$B$2:$B$58,0)</f>
        <v>42</v>
      </c>
      <c r="AR7" s="85">
        <f>MATCH(AR6,tblIndicators!$B$2:$B$58,0)</f>
        <v>43</v>
      </c>
      <c r="AS7" s="85">
        <f>MATCH(AS6,tblIndicators!$B$2:$B$58,0)</f>
        <v>44</v>
      </c>
      <c r="AT7" s="85">
        <f>MATCH(AT6,tblIndicators!$B$2:$B$58,0)</f>
        <v>45</v>
      </c>
      <c r="AU7" s="85">
        <f>MATCH(AU6,tblIndicators!$B$2:$B$58,0)</f>
        <v>46</v>
      </c>
      <c r="AV7" s="85">
        <f>MATCH(AV6,tblIndicators!$B$2:$B$58,0)</f>
        <v>47</v>
      </c>
      <c r="AW7" s="85">
        <f>MATCH(AW6,tblIndicators!$B$2:$B$58,0)</f>
        <v>48</v>
      </c>
      <c r="AX7" s="85">
        <f>MATCH(AX6,tblIndicators!$B$2:$B$58,0)</f>
        <v>50</v>
      </c>
      <c r="AY7" s="85">
        <f>MATCH(AY6,tblIndicators!$B$2:$B$58,0)</f>
        <v>51</v>
      </c>
      <c r="AZ7" s="85">
        <f>MATCH(AZ6,tblIndicators!$B$2:$B$58,0)</f>
        <v>52</v>
      </c>
      <c r="BA7" s="85">
        <f>MATCH(BA6,tblIndicators!$B$2:$B$58,0)</f>
        <v>53</v>
      </c>
      <c r="BB7" s="85">
        <f>MATCH(BB6,tblIndicators!$B$2:$B$58,0)</f>
        <v>54</v>
      </c>
      <c r="BC7" s="85">
        <f>MATCH(BC6,tblIndicators!$B$2:$B$58,0)</f>
        <v>55</v>
      </c>
      <c r="BD7" s="85">
        <f>MATCH(BD6,tblIndicators!$B$2:$B$58,0)</f>
        <v>56</v>
      </c>
      <c r="BE7" s="85">
        <f>MATCH(BE6,tblIndicators!$B$2:$B$58,0)</f>
        <v>57</v>
      </c>
    </row>
    <row r="8" spans="13:57">
      <c r="M8" s="85" t="s">
        <v>1680</v>
      </c>
      <c r="N8" s="85" t="str">
        <f>INDEX(tblIndicators!$Z$2:$Z$58,N7)</f>
        <v>1.1.1) Privacy policy</v>
      </c>
      <c r="O8" s="85" t="str">
        <f>INDEX(tblIndicators!$Z$2:$Z$58,O7)</f>
        <v>1.1.2) Citizen awareness of digital threats</v>
      </c>
      <c r="P8" s="85" t="str">
        <f>INDEX(tblIndicators!$Z$2:$Z$58,P7)</f>
        <v>1.1.3) City reliance on digital infrastructure</v>
      </c>
      <c r="Q8" s="85" t="str">
        <f>INDEX(tblIndicators!$Z$2:$Z$58,Q7)</f>
        <v>1.1.4) Public-private partnerships</v>
      </c>
      <c r="R8" s="85" t="str">
        <f>INDEX(tblIndicators!$Z$2:$Z$58,R7)</f>
        <v>1.1.5) Level of technology employed</v>
      </c>
      <c r="S8" s="85" t="str">
        <f>INDEX(tblIndicators!$Z$2:$Z$58,S7)</f>
        <v>1.1.6) Dedicated cyber security teams</v>
      </c>
      <c r="T8" s="85" t="str">
        <f>INDEX(tblIndicators!$Z$2:$Z$58,T7)</f>
        <v>1.2.1) Frequency of identity theft</v>
      </c>
      <c r="U8" s="85" t="str">
        <f>INDEX(tblIndicators!$Z$2:$Z$58,U7)</f>
        <v>1.2.2) Precentage of computers infected</v>
      </c>
      <c r="V8" s="85" t="str">
        <f>INDEX(tblIndicators!$Z$2:$Z$58,V7)</f>
        <v>1.2.3) Percent with internet access</v>
      </c>
      <c r="W8" s="85" t="str">
        <f>INDEX(tblIndicators!$Z$2:$Z$58,W7)</f>
        <v>2.1.1) Environmental policies</v>
      </c>
      <c r="X8" s="85" t="str">
        <f>INDEX(tblIndicators!$Z$2:$Z$58,X7)</f>
        <v>2.1.2) Access to healthcare</v>
      </c>
      <c r="Y8" s="85" t="str">
        <f>INDEX(tblIndicators!$Z$2:$Z$58,Y7)</f>
        <v>2.1.3) No. of beds per 1000</v>
      </c>
      <c r="Z8" s="85" t="str">
        <f>INDEX(tblIndicators!$Z$2:$Z$58,Z7)</f>
        <v>2.1.4) Number of doctors per 1000</v>
      </c>
      <c r="AA8" s="85" t="str">
        <f>INDEX(tblIndicators!$Z$2:$Z$58,AA7)</f>
        <v>2.1.5) Access to safe and quality food</v>
      </c>
      <c r="AB8" s="85" t="str">
        <f>INDEX(tblIndicators!$Z$2:$Z$58,AB7)</f>
        <v>2.1.6) Quality of health services</v>
      </c>
      <c r="AC8" s="85" t="str">
        <f>INDEX(tblIndicators!$Z$2:$Z$58,AC7)</f>
        <v>2.2.1) Air quality</v>
      </c>
      <c r="AD8" s="85" t="str">
        <f>INDEX(tblIndicators!$Z$2:$Z$58,AD7)</f>
        <v>2.2.2) Water quality</v>
      </c>
      <c r="AE8" s="85" t="str">
        <f>INDEX(tblIndicators!$Z$2:$Z$58,AE7)</f>
        <v>2.2.3) Life expectancy</v>
      </c>
      <c r="AF8" s="85" t="str">
        <f>INDEX(tblIndicators!$Z$2:$Z$58,AF7)</f>
        <v>2.2.4) Infant mortality (deaths per 1,000 live births)</v>
      </c>
      <c r="AG8" s="85" t="str">
        <f>INDEX(tblIndicators!$Z$2:$Z$58,AG7)</f>
        <v>2.2.5) Cancer mortality rate ( Cancer deaths per 100,000)</v>
      </c>
      <c r="AH8" s="85" t="str">
        <f>INDEX(tblIndicators!$Z$2:$Z$58,AH7)</f>
        <v>3.1.1) Enforcement of transport safety</v>
      </c>
      <c r="AI8" s="85" t="str">
        <f>INDEX(tblIndicators!$Z$2:$Z$58,AI7)</f>
        <v>3.1.2) Pedestrian friendliness</v>
      </c>
      <c r="AJ8" s="85" t="str">
        <f>INDEX(tblIndicators!$Z$2:$Z$58,AJ7)</f>
        <v>3.1.3) Quality of road infrastructure</v>
      </c>
      <c r="AK8" s="85" t="str">
        <f>INDEX(tblIndicators!$Z$2:$Z$58,AK7)</f>
        <v>3.1.4) Quality of electricity infrastructure</v>
      </c>
      <c r="AL8" s="85" t="str">
        <f>INDEX(tblIndicators!$Z$2:$Z$58,AL7)</f>
        <v>3.1.5) Disaster Management/Business Continuity Plan</v>
      </c>
      <c r="AM8" s="85" t="str">
        <f>INDEX(tblIndicators!$Z$2:$Z$58,AM7)</f>
        <v>3.2.1) Death from natural disasters</v>
      </c>
      <c r="AN8" s="85" t="str">
        <f>INDEX(tblIndicators!$Z$2:$Z$58,AN7)</f>
        <v>3.2.2) Frequency of vehicular accidents</v>
      </c>
      <c r="AO8" s="85" t="str">
        <f>INDEX(tblIndicators!$Z$2:$Z$58,AO7)</f>
        <v>3.2.3) Frequency of pedestrian deaths</v>
      </c>
      <c r="AP8" s="85" t="str">
        <f>INDEX(tblIndicators!$Z$2:$Z$58,AP7)</f>
        <v>3.2.4) Percent living in urban slums</v>
      </c>
      <c r="AQ8" s="85" t="str">
        <f>INDEX(tblIndicators!$Z$2:$Z$58,AQ7)</f>
        <v>4.1.1) Level of police engagement</v>
      </c>
      <c r="AR8" s="85" t="str">
        <f>INDEX(tblIndicators!$Z$2:$Z$58,AR7)</f>
        <v>4.1.2) Community-based patrolling</v>
      </c>
      <c r="AS8" s="85" t="str">
        <f>INDEX(tblIndicators!$Z$2:$Z$58,AS7)</f>
        <v>4.1.3) Availability of street-level crime data</v>
      </c>
      <c r="AT8" s="85" t="str">
        <f>INDEX(tblIndicators!$Z$2:$Z$58,AT7)</f>
        <v>4.1.4) Use of data-driven techniques for crime</v>
      </c>
      <c r="AU8" s="85" t="str">
        <f>INDEX(tblIndicators!$Z$2:$Z$58,AU7)</f>
        <v>4.1.5) Private security measures</v>
      </c>
      <c r="AV8" s="85" t="str">
        <f>INDEX(tblIndicators!$Z$2:$Z$58,AV7)</f>
        <v>4.1.6) Gun regulation and enforcement</v>
      </c>
      <c r="AW8" s="85" t="str">
        <f>INDEX(tblIndicators!$Z$2:$Z$58,AW7)</f>
        <v>4.1.7) Political Stability Risk</v>
      </c>
      <c r="AX8" s="85" t="str">
        <f>INDEX(tblIndicators!$Z$2:$Z$58,AX7)</f>
        <v>4.2.1) Prevalence of petty crime</v>
      </c>
      <c r="AY8" s="85" t="str">
        <f>INDEX(tblIndicators!$Z$2:$Z$58,AY7)</f>
        <v>4.2.2) Prevalence of violence crime</v>
      </c>
      <c r="AZ8" s="85" t="str">
        <f>INDEX(tblIndicators!$Z$2:$Z$58,AZ7)</f>
        <v>4.2.3) Criminal gang activity</v>
      </c>
      <c r="BA8" s="85" t="str">
        <f>INDEX(tblIndicators!$Z$2:$Z$58,BA7)</f>
        <v>4.2.4) Level of corruption in police force</v>
      </c>
      <c r="BB8" s="85" t="str">
        <f>INDEX(tblIndicators!$Z$2:$Z$58,BB7)</f>
        <v>4.2.5) Rate of drug use</v>
      </c>
      <c r="BC8" s="85" t="str">
        <f>INDEX(tblIndicators!$Z$2:$Z$58,BC7)</f>
        <v>4.2.6) Frequency of terrorist attacks</v>
      </c>
      <c r="BD8" s="85" t="str">
        <f>INDEX(tblIndicators!$Z$2:$Z$58,BD7)</f>
        <v>4.2.7) Gender safety</v>
      </c>
      <c r="BE8" s="85" t="str">
        <f>INDEX(tblIndicators!$Z$2:$Z$58,BE7)</f>
        <v>4.2.8) Perceptions of safety</v>
      </c>
    </row>
    <row r="9" spans="11:57">
      <c r="K9" s="85">
        <v>1</v>
      </c>
      <c r="M9" s="85" t="s">
        <v>1641</v>
      </c>
      <c r="N9" s="85" t="str">
        <f>INDEX(tblIndicators!$J$2:$J$58,N7)</f>
        <v>Scale 0-5</v>
      </c>
      <c r="O9" s="85" t="str">
        <f>INDEX(tblIndicators!$J$2:$J$58,O7)</f>
        <v>Scale 0-3</v>
      </c>
      <c r="P9" s="85" t="str">
        <f>INDEX(tblIndicators!$J$2:$J$58,P7)</f>
        <v>Scale 0-2</v>
      </c>
      <c r="Q9" s="85" t="str">
        <f>INDEX(tblIndicators!$J$2:$J$58,Q7)</f>
        <v>Scale 0-2</v>
      </c>
      <c r="R9" s="85" t="str">
        <f>INDEX(tblIndicators!$J$2:$J$58,R7)</f>
        <v>Scale 0-100</v>
      </c>
      <c r="S9" s="85" t="str">
        <f>INDEX(tblIndicators!$J$2:$J$58,S7)</f>
        <v>Scale 0-2</v>
      </c>
      <c r="T9" s="85" t="str">
        <f>INDEX(tblIndicators!$J$2:$J$58,T7)</f>
        <v>%</v>
      </c>
      <c r="U9" s="85" t="str">
        <f>INDEX(tblIndicators!$J$2:$J$58,U7)</f>
        <v>Scale 1-5 (1 best, 5 worst)</v>
      </c>
      <c r="V9" s="85" t="str">
        <f>INDEX(tblIndicators!$J$2:$J$58,V7)</f>
        <v>%</v>
      </c>
      <c r="W9" s="85" t="str">
        <f>INDEX(tblIndicators!$J$2:$J$58,W7)</f>
        <v>Scale 0-100</v>
      </c>
      <c r="X9" s="85" t="str">
        <f>INDEX(tblIndicators!$J$2:$J$58,X7)</f>
        <v>Scale 0-100</v>
      </c>
      <c r="Y9" s="85" t="str">
        <f>INDEX(tblIndicators!$J$2:$J$58,Y7)</f>
        <v>#/1000</v>
      </c>
      <c r="Z9" s="85" t="str">
        <f>INDEX(tblIndicators!$J$2:$J$58,Z7)</f>
        <v>#/1000</v>
      </c>
      <c r="AA9" s="85" t="str">
        <f>INDEX(tblIndicators!$J$2:$J$58,AA7)</f>
        <v>Scale 1-100</v>
      </c>
      <c r="AB9" s="85" t="str">
        <f>INDEX(tblIndicators!$J$2:$J$58,AB7)</f>
        <v>Scale 1-5</v>
      </c>
      <c r="AC9" s="85" t="str">
        <f>INDEX(tblIndicators!$J$2:$J$58,AC7)</f>
        <v>PM 2.5 levels</v>
      </c>
      <c r="AD9" s="85" t="str">
        <f>INDEX(tblIndicators!$J$2:$J$58,AD7)</f>
        <v>Scale 1-100</v>
      </c>
      <c r="AE9" s="85" t="str">
        <f>INDEX(tblIndicators!$J$2:$J$58,AE7)</f>
        <v>Years (Higher yrs, better)</v>
      </c>
      <c r="AF9" s="85" t="str">
        <f>INDEX(tblIndicators!$J$2:$J$58,AF7)</f>
        <v>Deaths per 1,000 births</v>
      </c>
      <c r="AG9" s="85" t="str">
        <f>INDEX(tblIndicators!$J$2:$J$58,AG7)</f>
        <v>Cancer deaths per 100,000</v>
      </c>
      <c r="AH9" s="85" t="str">
        <f>INDEX(tblIndicators!$J$2:$J$58,AH7)</f>
        <v>Scale 0-10</v>
      </c>
      <c r="AI9" s="85" t="str">
        <f>INDEX(tblIndicators!$J$2:$J$58,AI7)</f>
        <v>Scale 1-5</v>
      </c>
      <c r="AJ9" s="85" t="str">
        <f>INDEX(tblIndicators!$J$2:$J$58,AJ7)</f>
        <v>Scale 1-5</v>
      </c>
      <c r="AK9" s="85" t="str">
        <f>INDEX(tblIndicators!$J$2:$J$58,AK7)</f>
        <v>Scale 1-5</v>
      </c>
      <c r="AL9" s="85" t="str">
        <f>INDEX(tblIndicators!$J$2:$J$58,AL7)</f>
        <v>Scale 1-5</v>
      </c>
      <c r="AM9" s="85" t="str">
        <f>INDEX(tblIndicators!$J$2:$J$58,AM7)</f>
        <v>#/year/m</v>
      </c>
      <c r="AN9" s="85" t="str">
        <f>INDEX(tblIndicators!$J$2:$J$58,AN7)</f>
        <v>#/year/m</v>
      </c>
      <c r="AO9" s="85" t="str">
        <f>INDEX(tblIndicators!$J$2:$J$58,AO7)</f>
        <v>#/year/m</v>
      </c>
      <c r="AP9" s="85" t="str">
        <f>INDEX(tblIndicators!$J$2:$J$58,AP7)</f>
        <v>%</v>
      </c>
      <c r="AQ9" s="85" t="str">
        <f>INDEX(tblIndicators!$J$2:$J$58,AQ7)</f>
        <v>Scale 0 - 1</v>
      </c>
      <c r="AR9" s="85" t="str">
        <f>INDEX(tblIndicators!$J$2:$J$58,AR7)</f>
        <v>Score 0 - 1</v>
      </c>
      <c r="AS9" s="85" t="str">
        <f>INDEX(tblIndicators!$J$2:$J$58,AS7)</f>
        <v>Score 0 - 1</v>
      </c>
      <c r="AT9" s="85" t="str">
        <f>INDEX(tblIndicators!$J$2:$J$58,AT7)</f>
        <v>Score 0 - 1</v>
      </c>
      <c r="AU9" s="85" t="str">
        <f>INDEX(tblIndicators!$J$2:$J$58,AU7)</f>
        <v>Score 0 - 1</v>
      </c>
      <c r="AV9" s="85" t="str">
        <f>INDEX(tblIndicators!$J$2:$J$58,AV7)</f>
        <v>Scale 0 - 10</v>
      </c>
      <c r="AW9" s="85" t="str">
        <f>INDEX(tblIndicators!$J$2:$J$58,AW7)</f>
        <v>Scale 0 - 100</v>
      </c>
      <c r="AX9" s="85" t="str">
        <f>INDEX(tblIndicators!$J$2:$J$58,AX7)</f>
        <v>EIU Rating</v>
      </c>
      <c r="AY9" s="85" t="str">
        <f>INDEX(tblIndicators!$J$2:$J$58,AY7)</f>
        <v>EIU Rating</v>
      </c>
      <c r="AZ9" s="85" t="str">
        <f>INDEX(tblIndicators!$J$2:$J$58,AZ7)</f>
        <v>US $ billions</v>
      </c>
      <c r="BA9" s="85" t="str">
        <f>INDEX(tblIndicators!$J$2:$J$58,BA7)</f>
        <v>Scale 0 - 100</v>
      </c>
      <c r="BB9" s="85" t="str">
        <f>INDEX(tblIndicators!$J$2:$J$58,BB7)</f>
        <v>%</v>
      </c>
      <c r="BC9" s="85" t="str">
        <f>INDEX(tblIndicators!$J$2:$J$58,BC7)</f>
        <v>#/year</v>
      </c>
      <c r="BD9" s="85" t="str">
        <f>INDEX(tblIndicators!$J$2:$J$58,BD7)</f>
        <v>Index</v>
      </c>
      <c r="BE9" s="85" t="str">
        <f>INDEX(tblIndicators!$J$2:$J$58,BE7)</f>
        <v>Scale 0 - 100</v>
      </c>
    </row>
    <row r="10" spans="13:57">
      <c r="M10" s="85" t="s">
        <v>1681</v>
      </c>
      <c r="N10" s="85">
        <f>INDEX(tblIndicators!$N$2:$N$58,N7)</f>
        <v>1</v>
      </c>
      <c r="O10" s="85">
        <f>INDEX(tblIndicators!$N$2:$N$58,O7)</f>
        <v>0</v>
      </c>
      <c r="P10" s="85">
        <f>INDEX(tblIndicators!$N$2:$N$58,P7)</f>
        <v>0</v>
      </c>
      <c r="Q10" s="85">
        <f>INDEX(tblIndicators!$N$2:$N$58,Q7)</f>
        <v>0</v>
      </c>
      <c r="R10" s="85">
        <f>INDEX(tblIndicators!$N$2:$N$58,R7)</f>
        <v>0</v>
      </c>
      <c r="S10" s="85">
        <f>INDEX(tblIndicators!$N$2:$N$58,S7)</f>
        <v>0</v>
      </c>
      <c r="T10" s="85">
        <f>INDEX(tblIndicators!$N$2:$N$58,T7)</f>
        <v>1</v>
      </c>
      <c r="U10" s="85">
        <f>INDEX(tblIndicators!$N$2:$N$58,U7)</f>
        <v>1</v>
      </c>
      <c r="V10" s="85">
        <f>INDEX(tblIndicators!$N$2:$N$58,V7)</f>
        <v>0</v>
      </c>
      <c r="W10" s="85">
        <f>INDEX(tblIndicators!$N$2:$N$58,W7)</f>
        <v>0</v>
      </c>
      <c r="X10" s="85">
        <f>INDEX(tblIndicators!$N$2:$N$58,X7)</f>
        <v>0</v>
      </c>
      <c r="Y10" s="85">
        <f>INDEX(tblIndicators!$N$2:$N$58,Y7)</f>
        <v>0</v>
      </c>
      <c r="Z10" s="85">
        <f>INDEX(tblIndicators!$N$2:$N$58,Z7)</f>
        <v>0</v>
      </c>
      <c r="AA10" s="85">
        <f>INDEX(tblIndicators!$N$2:$N$58,AA7)</f>
        <v>0</v>
      </c>
      <c r="AB10" s="85">
        <f>INDEX(tblIndicators!$N$2:$N$58,AB7)</f>
        <v>1</v>
      </c>
      <c r="AC10" s="85">
        <f>INDEX(tblIndicators!$N$2:$N$58,AC7)</f>
        <v>1</v>
      </c>
      <c r="AD10" s="85">
        <f>INDEX(tblIndicators!$N$2:$N$58,AD7)</f>
        <v>0</v>
      </c>
      <c r="AE10" s="85">
        <f>INDEX(tblIndicators!$N$2:$N$58,AE7)</f>
        <v>0</v>
      </c>
      <c r="AF10" s="85">
        <f>INDEX(tblIndicators!$N$2:$N$58,AF7)</f>
        <v>1</v>
      </c>
      <c r="AG10" s="85">
        <f>INDEX(tblIndicators!$N$2:$N$58,AG7)</f>
        <v>1</v>
      </c>
      <c r="AH10" s="85">
        <f>INDEX(tblIndicators!$N$2:$N$58,AH7)</f>
        <v>0</v>
      </c>
      <c r="AI10" s="85">
        <f>INDEX(tblIndicators!$N$2:$N$58,AI7)</f>
        <v>0</v>
      </c>
      <c r="AJ10" s="85">
        <f>INDEX(tblIndicators!$N$2:$N$58,AJ7)</f>
        <v>1</v>
      </c>
      <c r="AK10" s="85">
        <f>INDEX(tblIndicators!$N$2:$N$58,AK7)</f>
        <v>1</v>
      </c>
      <c r="AL10" s="85">
        <f>INDEX(tblIndicators!$N$2:$N$58,AL7)</f>
        <v>1</v>
      </c>
      <c r="AM10" s="85">
        <f>INDEX(tblIndicators!$N$2:$N$58,AM7)</f>
        <v>1</v>
      </c>
      <c r="AN10" s="85">
        <f>INDEX(tblIndicators!$N$2:$N$58,AN7)</f>
        <v>1</v>
      </c>
      <c r="AO10" s="85">
        <f>INDEX(tblIndicators!$N$2:$N$58,AO7)</f>
        <v>1</v>
      </c>
      <c r="AP10" s="85">
        <f>INDEX(tblIndicators!$N$2:$N$58,AP7)</f>
        <v>1</v>
      </c>
      <c r="AQ10" s="85">
        <f>INDEX(tblIndicators!$N$2:$N$58,AQ7)</f>
        <v>0</v>
      </c>
      <c r="AR10" s="85">
        <f>INDEX(tblIndicators!$N$2:$N$58,AR7)</f>
        <v>0</v>
      </c>
      <c r="AS10" s="85">
        <f>INDEX(tblIndicators!$N$2:$N$58,AS7)</f>
        <v>0</v>
      </c>
      <c r="AT10" s="85">
        <f>INDEX(tblIndicators!$N$2:$N$58,AT7)</f>
        <v>0</v>
      </c>
      <c r="AU10" s="85">
        <f>INDEX(tblIndicators!$N$2:$N$58,AU7)</f>
        <v>0</v>
      </c>
      <c r="AV10" s="85">
        <f>INDEX(tblIndicators!$N$2:$N$58,AV7)</f>
        <v>1</v>
      </c>
      <c r="AW10" s="85">
        <f>INDEX(tblIndicators!$N$2:$N$58,AW7)</f>
        <v>1</v>
      </c>
      <c r="AX10" s="85">
        <f>INDEX(tblIndicators!$N$2:$N$58,AX7)</f>
        <v>1</v>
      </c>
      <c r="AY10" s="85">
        <f>INDEX(tblIndicators!$N$2:$N$58,AY7)</f>
        <v>1</v>
      </c>
      <c r="AZ10" s="85">
        <f>INDEX(tblIndicators!$N$2:$N$58,AZ7)</f>
        <v>1</v>
      </c>
      <c r="BA10" s="85">
        <f>INDEX(tblIndicators!$N$2:$N$58,BA7)</f>
        <v>1</v>
      </c>
      <c r="BB10" s="85">
        <f>INDEX(tblIndicators!$N$2:$N$58,BB7)</f>
        <v>1</v>
      </c>
      <c r="BC10" s="85">
        <f>INDEX(tblIndicators!$N$2:$N$58,BC7)</f>
        <v>1</v>
      </c>
      <c r="BD10" s="85">
        <f>INDEX(tblIndicators!$N$2:$N$58,BD7)</f>
        <v>1</v>
      </c>
      <c r="BE10" s="85">
        <f>INDEX(tblIndicators!$N$2:$N$58,BE7)</f>
        <v>0</v>
      </c>
    </row>
    <row r="11" spans="11:57">
      <c r="K11" s="85">
        <f>QUARTILE(AC33:AC85,K9)</f>
        <v>14.5</v>
      </c>
      <c r="M11" s="85" t="s">
        <v>1682</v>
      </c>
      <c r="N11" s="85">
        <f>IF(N24&gt;=QUARTILE(N$33:N$82,3),4,IF(N24&gt;=QUARTILE(N$33:N$82,2),3,IF(N24&gt;=QUARTILE(N$33:N$82,1),2,1)))</f>
        <v>4</v>
      </c>
      <c r="O11" s="85">
        <f t="shared" ref="O11:BE11" si="0">IF(O24&gt;=QUARTILE(O$33:O$82,3),4,IF(O24&gt;=QUARTILE(O$33:O$82,2),3,IF(O24&gt;=QUARTILE(O$33:O$82,1),2,1)))</f>
        <v>4</v>
      </c>
      <c r="P11" s="85">
        <f t="shared" si="0"/>
        <v>4</v>
      </c>
      <c r="Q11" s="85">
        <f t="shared" si="0"/>
        <v>4</v>
      </c>
      <c r="R11" s="85">
        <f t="shared" si="0"/>
        <v>4</v>
      </c>
      <c r="S11" s="85">
        <f t="shared" si="0"/>
        <v>4</v>
      </c>
      <c r="T11" s="85">
        <f t="shared" si="0"/>
        <v>2</v>
      </c>
      <c r="U11" s="85">
        <f t="shared" si="0"/>
        <v>4</v>
      </c>
      <c r="V11" s="85">
        <f t="shared" si="0"/>
        <v>4</v>
      </c>
      <c r="W11" s="85">
        <f t="shared" si="0"/>
        <v>1</v>
      </c>
      <c r="X11" s="85">
        <f t="shared" si="0"/>
        <v>2</v>
      </c>
      <c r="Y11" s="85">
        <f t="shared" si="0"/>
        <v>2</v>
      </c>
      <c r="Z11" s="85">
        <f t="shared" si="0"/>
        <v>2</v>
      </c>
      <c r="AA11" s="85">
        <f t="shared" si="0"/>
        <v>4</v>
      </c>
      <c r="AB11" s="85">
        <f t="shared" si="0"/>
        <v>3</v>
      </c>
      <c r="AC11" s="85">
        <f t="shared" si="0"/>
        <v>4</v>
      </c>
      <c r="AD11" s="85">
        <f t="shared" si="0"/>
        <v>2</v>
      </c>
      <c r="AE11" s="85">
        <f t="shared" si="0"/>
        <v>2</v>
      </c>
      <c r="AF11" s="85">
        <f t="shared" si="0"/>
        <v>3</v>
      </c>
      <c r="AG11" s="85">
        <f t="shared" si="0"/>
        <v>4</v>
      </c>
      <c r="AH11" s="85">
        <f t="shared" si="0"/>
        <v>4</v>
      </c>
      <c r="AI11" s="85">
        <f t="shared" si="0"/>
        <v>4</v>
      </c>
      <c r="AJ11" s="85">
        <f t="shared" si="0"/>
        <v>1</v>
      </c>
      <c r="AK11" s="85">
        <f t="shared" si="0"/>
        <v>4</v>
      </c>
      <c r="AL11" s="85">
        <f t="shared" si="0"/>
        <v>3</v>
      </c>
      <c r="AM11" s="85">
        <f t="shared" si="0"/>
        <v>1</v>
      </c>
      <c r="AN11" s="85">
        <f t="shared" si="0"/>
        <v>1</v>
      </c>
      <c r="AO11" s="85">
        <f t="shared" si="0"/>
        <v>3</v>
      </c>
      <c r="AP11" s="85">
        <f t="shared" si="0"/>
        <v>2</v>
      </c>
      <c r="AQ11" s="85">
        <f t="shared" si="0"/>
        <v>2</v>
      </c>
      <c r="AR11" s="85">
        <f t="shared" si="0"/>
        <v>4</v>
      </c>
      <c r="AS11" s="85">
        <f t="shared" si="0"/>
        <v>4</v>
      </c>
      <c r="AT11" s="85">
        <f t="shared" si="0"/>
        <v>2</v>
      </c>
      <c r="AU11" s="85">
        <f t="shared" si="0"/>
        <v>2</v>
      </c>
      <c r="AV11" s="85">
        <f t="shared" si="0"/>
        <v>3</v>
      </c>
      <c r="AW11" s="85">
        <f t="shared" si="0"/>
        <v>3</v>
      </c>
      <c r="AX11" s="85">
        <f t="shared" si="0"/>
        <v>3</v>
      </c>
      <c r="AY11" s="85">
        <f t="shared" si="0"/>
        <v>2</v>
      </c>
      <c r="AZ11" s="85">
        <f t="shared" si="0"/>
        <v>1</v>
      </c>
      <c r="BA11" s="85">
        <f t="shared" si="0"/>
        <v>3</v>
      </c>
      <c r="BB11" s="85">
        <f t="shared" si="0"/>
        <v>1</v>
      </c>
      <c r="BC11" s="85">
        <f t="shared" si="0"/>
        <v>1</v>
      </c>
      <c r="BD11" s="85">
        <f t="shared" si="0"/>
        <v>3</v>
      </c>
      <c r="BE11" s="85">
        <f t="shared" si="0"/>
        <v>4</v>
      </c>
    </row>
    <row r="12" spans="13:57">
      <c r="M12" s="85" t="s">
        <v>1683</v>
      </c>
      <c r="N12" s="85">
        <f>IF(N$10=1,N11,5-N11)</f>
        <v>4</v>
      </c>
      <c r="O12" s="85">
        <f t="shared" ref="O12:BE12" si="1">IF(O$10=1,O11,5-O11)</f>
        <v>1</v>
      </c>
      <c r="P12" s="85">
        <f t="shared" si="1"/>
        <v>1</v>
      </c>
      <c r="Q12" s="85">
        <f t="shared" si="1"/>
        <v>1</v>
      </c>
      <c r="R12" s="85">
        <f t="shared" si="1"/>
        <v>1</v>
      </c>
      <c r="S12" s="85">
        <f t="shared" si="1"/>
        <v>1</v>
      </c>
      <c r="T12" s="85">
        <f t="shared" si="1"/>
        <v>2</v>
      </c>
      <c r="U12" s="85">
        <f t="shared" si="1"/>
        <v>4</v>
      </c>
      <c r="V12" s="85">
        <f t="shared" si="1"/>
        <v>1</v>
      </c>
      <c r="W12" s="85">
        <f t="shared" si="1"/>
        <v>4</v>
      </c>
      <c r="X12" s="85">
        <f t="shared" si="1"/>
        <v>3</v>
      </c>
      <c r="Y12" s="85">
        <f t="shared" si="1"/>
        <v>3</v>
      </c>
      <c r="Z12" s="85">
        <f t="shared" si="1"/>
        <v>3</v>
      </c>
      <c r="AA12" s="85">
        <f t="shared" si="1"/>
        <v>1</v>
      </c>
      <c r="AB12" s="85">
        <f t="shared" si="1"/>
        <v>3</v>
      </c>
      <c r="AC12" s="85">
        <f t="shared" si="1"/>
        <v>4</v>
      </c>
      <c r="AD12" s="85">
        <f t="shared" si="1"/>
        <v>3</v>
      </c>
      <c r="AE12" s="85">
        <f t="shared" si="1"/>
        <v>3</v>
      </c>
      <c r="AF12" s="85">
        <f t="shared" si="1"/>
        <v>3</v>
      </c>
      <c r="AG12" s="85">
        <f t="shared" si="1"/>
        <v>4</v>
      </c>
      <c r="AH12" s="85">
        <f t="shared" si="1"/>
        <v>1</v>
      </c>
      <c r="AI12" s="85">
        <f t="shared" si="1"/>
        <v>1</v>
      </c>
      <c r="AJ12" s="85">
        <f t="shared" si="1"/>
        <v>1</v>
      </c>
      <c r="AK12" s="85">
        <f t="shared" si="1"/>
        <v>4</v>
      </c>
      <c r="AL12" s="85">
        <f t="shared" si="1"/>
        <v>3</v>
      </c>
      <c r="AM12" s="85">
        <f t="shared" si="1"/>
        <v>1</v>
      </c>
      <c r="AN12" s="85">
        <f t="shared" si="1"/>
        <v>1</v>
      </c>
      <c r="AO12" s="85">
        <f t="shared" si="1"/>
        <v>3</v>
      </c>
      <c r="AP12" s="85">
        <f t="shared" si="1"/>
        <v>2</v>
      </c>
      <c r="AQ12" s="85">
        <f t="shared" si="1"/>
        <v>3</v>
      </c>
      <c r="AR12" s="85">
        <f t="shared" si="1"/>
        <v>1</v>
      </c>
      <c r="AS12" s="85">
        <f t="shared" si="1"/>
        <v>1</v>
      </c>
      <c r="AT12" s="85">
        <f t="shared" si="1"/>
        <v>3</v>
      </c>
      <c r="AU12" s="85">
        <f t="shared" si="1"/>
        <v>3</v>
      </c>
      <c r="AV12" s="85">
        <f t="shared" si="1"/>
        <v>3</v>
      </c>
      <c r="AW12" s="85">
        <f t="shared" si="1"/>
        <v>3</v>
      </c>
      <c r="AX12" s="85">
        <f t="shared" si="1"/>
        <v>3</v>
      </c>
      <c r="AY12" s="85">
        <f t="shared" si="1"/>
        <v>2</v>
      </c>
      <c r="AZ12" s="85">
        <f t="shared" si="1"/>
        <v>1</v>
      </c>
      <c r="BA12" s="85">
        <f t="shared" si="1"/>
        <v>3</v>
      </c>
      <c r="BB12" s="85">
        <f t="shared" si="1"/>
        <v>1</v>
      </c>
      <c r="BC12" s="85">
        <f t="shared" si="1"/>
        <v>1</v>
      </c>
      <c r="BD12" s="85">
        <f t="shared" si="1"/>
        <v>3</v>
      </c>
      <c r="BE12" s="85">
        <f t="shared" si="1"/>
        <v>1</v>
      </c>
    </row>
    <row r="13" spans="13:57">
      <c r="M13" s="85" t="s">
        <v>1684</v>
      </c>
      <c r="N13" s="85" t="str">
        <f>IF(N12=1,"*",IF(N12=4,"x",""))</f>
        <v>x</v>
      </c>
      <c r="O13" s="85" t="str">
        <f t="shared" ref="O13:BE13" si="2">IF(O12=1,"*",IF(O12=4,"x",""))</f>
        <v>*</v>
      </c>
      <c r="P13" s="85" t="str">
        <f t="shared" si="2"/>
        <v>*</v>
      </c>
      <c r="Q13" s="85" t="str">
        <f t="shared" si="2"/>
        <v>*</v>
      </c>
      <c r="R13" s="85" t="str">
        <f t="shared" si="2"/>
        <v>*</v>
      </c>
      <c r="S13" s="85" t="str">
        <f t="shared" si="2"/>
        <v>*</v>
      </c>
      <c r="T13" s="85" t="str">
        <f t="shared" si="2"/>
        <v/>
      </c>
      <c r="U13" s="85" t="str">
        <f t="shared" si="2"/>
        <v>x</v>
      </c>
      <c r="V13" s="85" t="str">
        <f t="shared" si="2"/>
        <v>*</v>
      </c>
      <c r="W13" s="85" t="str">
        <f t="shared" si="2"/>
        <v>x</v>
      </c>
      <c r="X13" s="85" t="str">
        <f t="shared" si="2"/>
        <v/>
      </c>
      <c r="Y13" s="85" t="str">
        <f t="shared" si="2"/>
        <v/>
      </c>
      <c r="Z13" s="85" t="str">
        <f t="shared" si="2"/>
        <v/>
      </c>
      <c r="AA13" s="85" t="str">
        <f t="shared" si="2"/>
        <v>*</v>
      </c>
      <c r="AB13" s="85" t="str">
        <f t="shared" si="2"/>
        <v/>
      </c>
      <c r="AC13" s="85" t="str">
        <f t="shared" si="2"/>
        <v>x</v>
      </c>
      <c r="AD13" s="85" t="str">
        <f t="shared" si="2"/>
        <v/>
      </c>
      <c r="AE13" s="85" t="str">
        <f t="shared" si="2"/>
        <v/>
      </c>
      <c r="AF13" s="85" t="str">
        <f t="shared" si="2"/>
        <v/>
      </c>
      <c r="AG13" s="85" t="str">
        <f t="shared" si="2"/>
        <v>x</v>
      </c>
      <c r="AH13" s="85" t="str">
        <f t="shared" si="2"/>
        <v>*</v>
      </c>
      <c r="AI13" s="85" t="str">
        <f t="shared" si="2"/>
        <v>*</v>
      </c>
      <c r="AJ13" s="85" t="str">
        <f t="shared" si="2"/>
        <v>*</v>
      </c>
      <c r="AK13" s="85" t="str">
        <f t="shared" si="2"/>
        <v>x</v>
      </c>
      <c r="AL13" s="85" t="str">
        <f t="shared" si="2"/>
        <v/>
      </c>
      <c r="AM13" s="85" t="str">
        <f t="shared" si="2"/>
        <v>*</v>
      </c>
      <c r="AN13" s="85" t="str">
        <f t="shared" si="2"/>
        <v>*</v>
      </c>
      <c r="AO13" s="85" t="str">
        <f t="shared" si="2"/>
        <v/>
      </c>
      <c r="AP13" s="85" t="str">
        <f t="shared" si="2"/>
        <v/>
      </c>
      <c r="AQ13" s="85" t="str">
        <f t="shared" si="2"/>
        <v/>
      </c>
      <c r="AR13" s="85" t="str">
        <f t="shared" si="2"/>
        <v>*</v>
      </c>
      <c r="AS13" s="85" t="str">
        <f t="shared" si="2"/>
        <v>*</v>
      </c>
      <c r="AT13" s="85" t="str">
        <f t="shared" si="2"/>
        <v/>
      </c>
      <c r="AU13" s="85" t="str">
        <f t="shared" si="2"/>
        <v/>
      </c>
      <c r="AV13" s="85" t="str">
        <f t="shared" si="2"/>
        <v/>
      </c>
      <c r="AW13" s="85" t="str">
        <f t="shared" si="2"/>
        <v/>
      </c>
      <c r="AX13" s="85" t="str">
        <f t="shared" si="2"/>
        <v/>
      </c>
      <c r="AY13" s="85" t="str">
        <f t="shared" si="2"/>
        <v/>
      </c>
      <c r="AZ13" s="85" t="str">
        <f t="shared" si="2"/>
        <v>*</v>
      </c>
      <c r="BA13" s="85" t="str">
        <f t="shared" si="2"/>
        <v/>
      </c>
      <c r="BB13" s="85" t="str">
        <f t="shared" si="2"/>
        <v>*</v>
      </c>
      <c r="BC13" s="85" t="str">
        <f t="shared" si="2"/>
        <v>*</v>
      </c>
      <c r="BD13" s="85" t="str">
        <f t="shared" si="2"/>
        <v/>
      </c>
      <c r="BE13" s="85" t="str">
        <f t="shared" si="2"/>
        <v>*</v>
      </c>
    </row>
    <row r="14" spans="13:57">
      <c r="M14" s="85" t="s">
        <v>1685</v>
      </c>
      <c r="N14" s="85">
        <f>IF(N25&gt;=QUARTILE(N$33:N$582,3),4,IF(N25&gt;=QUARTILE(N$33:N$82,2),3,IF(N25&gt;=QUARTILE(N$33:N$82,1),2,1)))</f>
        <v>4</v>
      </c>
      <c r="O14" s="85">
        <f t="shared" ref="O14:BE14" si="3">IF(O25&gt;=QUARTILE(O$33:O$582,3),4,IF(O25&gt;=QUARTILE(O$33:O$82,2),3,IF(O25&gt;=QUARTILE(O$33:O$82,1),2,1)))</f>
        <v>1</v>
      </c>
      <c r="P14" s="85">
        <f t="shared" si="3"/>
        <v>4</v>
      </c>
      <c r="Q14" s="85">
        <f t="shared" si="3"/>
        <v>4</v>
      </c>
      <c r="R14" s="85">
        <f t="shared" si="3"/>
        <v>4</v>
      </c>
      <c r="S14" s="85">
        <f t="shared" si="3"/>
        <v>3</v>
      </c>
      <c r="T14" s="85">
        <f t="shared" si="3"/>
        <v>2</v>
      </c>
      <c r="U14" s="85">
        <f t="shared" si="3"/>
        <v>4</v>
      </c>
      <c r="V14" s="85">
        <f t="shared" si="3"/>
        <v>3</v>
      </c>
      <c r="W14" s="85">
        <f t="shared" si="3"/>
        <v>4</v>
      </c>
      <c r="X14" s="85">
        <f t="shared" si="3"/>
        <v>4</v>
      </c>
      <c r="Y14" s="85">
        <f t="shared" si="3"/>
        <v>4</v>
      </c>
      <c r="Z14" s="85">
        <f t="shared" si="3"/>
        <v>3</v>
      </c>
      <c r="AA14" s="85">
        <f t="shared" si="3"/>
        <v>4</v>
      </c>
      <c r="AB14" s="85">
        <f t="shared" si="3"/>
        <v>2</v>
      </c>
      <c r="AC14" s="85">
        <f t="shared" si="3"/>
        <v>2</v>
      </c>
      <c r="AD14" s="85">
        <f t="shared" si="3"/>
        <v>4</v>
      </c>
      <c r="AE14" s="85">
        <f t="shared" si="3"/>
        <v>3</v>
      </c>
      <c r="AF14" s="85">
        <f t="shared" si="3"/>
        <v>2</v>
      </c>
      <c r="AG14" s="85">
        <f t="shared" si="3"/>
        <v>4</v>
      </c>
      <c r="AH14" s="85">
        <f t="shared" si="3"/>
        <v>4</v>
      </c>
      <c r="AI14" s="85">
        <f t="shared" si="3"/>
        <v>1</v>
      </c>
      <c r="AJ14" s="85">
        <f t="shared" si="3"/>
        <v>4</v>
      </c>
      <c r="AK14" s="85">
        <f t="shared" si="3"/>
        <v>3</v>
      </c>
      <c r="AL14" s="85">
        <f t="shared" si="3"/>
        <v>3</v>
      </c>
      <c r="AM14" s="85">
        <f t="shared" si="3"/>
        <v>3</v>
      </c>
      <c r="AN14" s="85">
        <f t="shared" si="3"/>
        <v>4</v>
      </c>
      <c r="AO14" s="85">
        <f t="shared" si="3"/>
        <v>1</v>
      </c>
      <c r="AP14" s="85">
        <f t="shared" si="3"/>
        <v>2</v>
      </c>
      <c r="AQ14" s="85">
        <f t="shared" si="3"/>
        <v>4</v>
      </c>
      <c r="AR14" s="85">
        <f t="shared" si="3"/>
        <v>4</v>
      </c>
      <c r="AS14" s="85">
        <f t="shared" si="3"/>
        <v>4</v>
      </c>
      <c r="AT14" s="85">
        <f t="shared" si="3"/>
        <v>4</v>
      </c>
      <c r="AU14" s="85">
        <f t="shared" si="3"/>
        <v>2</v>
      </c>
      <c r="AV14" s="85">
        <f t="shared" si="3"/>
        <v>4</v>
      </c>
      <c r="AW14" s="85">
        <f t="shared" si="3"/>
        <v>2</v>
      </c>
      <c r="AX14" s="85">
        <f t="shared" si="3"/>
        <v>3</v>
      </c>
      <c r="AY14" s="85">
        <f t="shared" si="3"/>
        <v>4</v>
      </c>
      <c r="AZ14" s="85">
        <f t="shared" si="3"/>
        <v>2</v>
      </c>
      <c r="BA14" s="85">
        <f t="shared" si="3"/>
        <v>3</v>
      </c>
      <c r="BB14" s="85">
        <f t="shared" si="3"/>
        <v>3</v>
      </c>
      <c r="BC14" s="85">
        <f t="shared" si="3"/>
        <v>4</v>
      </c>
      <c r="BD14" s="85">
        <f t="shared" si="3"/>
        <v>4</v>
      </c>
      <c r="BE14" s="85">
        <f t="shared" si="3"/>
        <v>1</v>
      </c>
    </row>
    <row r="15" spans="13:57">
      <c r="M15" s="85" t="s">
        <v>1683</v>
      </c>
      <c r="N15" s="85">
        <f>IF(N$10=1,N14,5-N14)</f>
        <v>4</v>
      </c>
      <c r="O15" s="85">
        <f t="shared" ref="O15:BE15" si="4">IF(O$10=1,O14,5-O14)</f>
        <v>4</v>
      </c>
      <c r="P15" s="85">
        <f t="shared" si="4"/>
        <v>1</v>
      </c>
      <c r="Q15" s="85">
        <f t="shared" si="4"/>
        <v>1</v>
      </c>
      <c r="R15" s="85">
        <f t="shared" si="4"/>
        <v>1</v>
      </c>
      <c r="S15" s="85">
        <f t="shared" si="4"/>
        <v>2</v>
      </c>
      <c r="T15" s="85">
        <f t="shared" si="4"/>
        <v>2</v>
      </c>
      <c r="U15" s="85">
        <f t="shared" si="4"/>
        <v>4</v>
      </c>
      <c r="V15" s="85">
        <f t="shared" si="4"/>
        <v>2</v>
      </c>
      <c r="W15" s="85">
        <f t="shared" si="4"/>
        <v>1</v>
      </c>
      <c r="X15" s="85">
        <f t="shared" si="4"/>
        <v>1</v>
      </c>
      <c r="Y15" s="85">
        <f t="shared" si="4"/>
        <v>1</v>
      </c>
      <c r="Z15" s="85">
        <f t="shared" si="4"/>
        <v>2</v>
      </c>
      <c r="AA15" s="85">
        <f t="shared" si="4"/>
        <v>1</v>
      </c>
      <c r="AB15" s="85">
        <f t="shared" si="4"/>
        <v>2</v>
      </c>
      <c r="AC15" s="85">
        <f t="shared" si="4"/>
        <v>2</v>
      </c>
      <c r="AD15" s="85">
        <f t="shared" si="4"/>
        <v>1</v>
      </c>
      <c r="AE15" s="85">
        <f t="shared" si="4"/>
        <v>2</v>
      </c>
      <c r="AF15" s="85">
        <f t="shared" si="4"/>
        <v>2</v>
      </c>
      <c r="AG15" s="85">
        <f t="shared" si="4"/>
        <v>4</v>
      </c>
      <c r="AH15" s="85">
        <f t="shared" si="4"/>
        <v>1</v>
      </c>
      <c r="AI15" s="85">
        <f t="shared" si="4"/>
        <v>4</v>
      </c>
      <c r="AJ15" s="85">
        <f t="shared" si="4"/>
        <v>4</v>
      </c>
      <c r="AK15" s="85">
        <f t="shared" si="4"/>
        <v>3</v>
      </c>
      <c r="AL15" s="85">
        <f t="shared" si="4"/>
        <v>3</v>
      </c>
      <c r="AM15" s="85">
        <f t="shared" si="4"/>
        <v>3</v>
      </c>
      <c r="AN15" s="85">
        <f t="shared" si="4"/>
        <v>4</v>
      </c>
      <c r="AO15" s="85">
        <f t="shared" si="4"/>
        <v>1</v>
      </c>
      <c r="AP15" s="85">
        <f t="shared" si="4"/>
        <v>2</v>
      </c>
      <c r="AQ15" s="85">
        <f t="shared" si="4"/>
        <v>1</v>
      </c>
      <c r="AR15" s="85">
        <f t="shared" si="4"/>
        <v>1</v>
      </c>
      <c r="AS15" s="85">
        <f t="shared" si="4"/>
        <v>1</v>
      </c>
      <c r="AT15" s="85">
        <f t="shared" si="4"/>
        <v>1</v>
      </c>
      <c r="AU15" s="85">
        <f t="shared" si="4"/>
        <v>3</v>
      </c>
      <c r="AV15" s="85">
        <f t="shared" si="4"/>
        <v>4</v>
      </c>
      <c r="AW15" s="85">
        <f t="shared" si="4"/>
        <v>2</v>
      </c>
      <c r="AX15" s="85">
        <f t="shared" si="4"/>
        <v>3</v>
      </c>
      <c r="AY15" s="85">
        <f t="shared" si="4"/>
        <v>4</v>
      </c>
      <c r="AZ15" s="85">
        <f t="shared" si="4"/>
        <v>2</v>
      </c>
      <c r="BA15" s="85">
        <f t="shared" si="4"/>
        <v>3</v>
      </c>
      <c r="BB15" s="85">
        <f t="shared" si="4"/>
        <v>3</v>
      </c>
      <c r="BC15" s="85">
        <f t="shared" si="4"/>
        <v>4</v>
      </c>
      <c r="BD15" s="85">
        <f t="shared" si="4"/>
        <v>4</v>
      </c>
      <c r="BE15" s="85">
        <f t="shared" si="4"/>
        <v>4</v>
      </c>
    </row>
    <row r="16" spans="13:57">
      <c r="M16" s="85" t="s">
        <v>1684</v>
      </c>
      <c r="N16" s="85" t="str">
        <f>IF(N15=1,"*",IF(N15=4,"x",""))</f>
        <v>x</v>
      </c>
      <c r="O16" s="85" t="str">
        <f t="shared" ref="O16:BE16" si="5">IF(O15=1,"*",IF(O15=4,"x",""))</f>
        <v>x</v>
      </c>
      <c r="P16" s="85" t="str">
        <f t="shared" si="5"/>
        <v>*</v>
      </c>
      <c r="Q16" s="85" t="str">
        <f t="shared" si="5"/>
        <v>*</v>
      </c>
      <c r="R16" s="85" t="str">
        <f t="shared" si="5"/>
        <v>*</v>
      </c>
      <c r="S16" s="85" t="str">
        <f t="shared" si="5"/>
        <v/>
      </c>
      <c r="T16" s="85" t="str">
        <f t="shared" si="5"/>
        <v/>
      </c>
      <c r="U16" s="85" t="str">
        <f t="shared" si="5"/>
        <v>x</v>
      </c>
      <c r="V16" s="85" t="str">
        <f t="shared" si="5"/>
        <v/>
      </c>
      <c r="W16" s="85" t="str">
        <f t="shared" si="5"/>
        <v>*</v>
      </c>
      <c r="X16" s="85" t="str">
        <f t="shared" si="5"/>
        <v>*</v>
      </c>
      <c r="Y16" s="85" t="str">
        <f t="shared" si="5"/>
        <v>*</v>
      </c>
      <c r="Z16" s="85" t="str">
        <f t="shared" si="5"/>
        <v/>
      </c>
      <c r="AA16" s="85" t="str">
        <f t="shared" si="5"/>
        <v>*</v>
      </c>
      <c r="AB16" s="85" t="str">
        <f t="shared" si="5"/>
        <v/>
      </c>
      <c r="AC16" s="85" t="str">
        <f t="shared" si="5"/>
        <v/>
      </c>
      <c r="AD16" s="85" t="str">
        <f t="shared" si="5"/>
        <v>*</v>
      </c>
      <c r="AE16" s="85" t="str">
        <f t="shared" si="5"/>
        <v/>
      </c>
      <c r="AF16" s="85" t="str">
        <f t="shared" si="5"/>
        <v/>
      </c>
      <c r="AG16" s="85" t="str">
        <f t="shared" si="5"/>
        <v>x</v>
      </c>
      <c r="AH16" s="85" t="str">
        <f t="shared" si="5"/>
        <v>*</v>
      </c>
      <c r="AI16" s="85" t="str">
        <f t="shared" si="5"/>
        <v>x</v>
      </c>
      <c r="AJ16" s="85" t="str">
        <f t="shared" si="5"/>
        <v>x</v>
      </c>
      <c r="AK16" s="85" t="str">
        <f t="shared" si="5"/>
        <v/>
      </c>
      <c r="AL16" s="85" t="str">
        <f t="shared" si="5"/>
        <v/>
      </c>
      <c r="AM16" s="85" t="str">
        <f t="shared" si="5"/>
        <v/>
      </c>
      <c r="AN16" s="85" t="str">
        <f t="shared" si="5"/>
        <v>x</v>
      </c>
      <c r="AO16" s="85" t="str">
        <f t="shared" si="5"/>
        <v>*</v>
      </c>
      <c r="AP16" s="85" t="str">
        <f t="shared" si="5"/>
        <v/>
      </c>
      <c r="AQ16" s="85" t="str">
        <f t="shared" si="5"/>
        <v>*</v>
      </c>
      <c r="AR16" s="85" t="str">
        <f t="shared" si="5"/>
        <v>*</v>
      </c>
      <c r="AS16" s="85" t="str">
        <f t="shared" si="5"/>
        <v>*</v>
      </c>
      <c r="AT16" s="85" t="str">
        <f t="shared" si="5"/>
        <v>*</v>
      </c>
      <c r="AU16" s="85" t="str">
        <f t="shared" si="5"/>
        <v/>
      </c>
      <c r="AV16" s="85" t="str">
        <f t="shared" si="5"/>
        <v>x</v>
      </c>
      <c r="AW16" s="85" t="str">
        <f t="shared" si="5"/>
        <v/>
      </c>
      <c r="AX16" s="85" t="str">
        <f t="shared" si="5"/>
        <v/>
      </c>
      <c r="AY16" s="85" t="str">
        <f t="shared" si="5"/>
        <v>x</v>
      </c>
      <c r="AZ16" s="85" t="str">
        <f t="shared" si="5"/>
        <v/>
      </c>
      <c r="BA16" s="85" t="str">
        <f t="shared" si="5"/>
        <v/>
      </c>
      <c r="BB16" s="85" t="str">
        <f t="shared" si="5"/>
        <v/>
      </c>
      <c r="BC16" s="85" t="str">
        <f t="shared" si="5"/>
        <v>x</v>
      </c>
      <c r="BD16" s="85" t="str">
        <f t="shared" si="5"/>
        <v>x</v>
      </c>
      <c r="BE16" s="85" t="str">
        <f t="shared" si="5"/>
        <v>x</v>
      </c>
    </row>
    <row r="17" spans="13:13">
      <c r="M17" s="85" t="s">
        <v>1686</v>
      </c>
    </row>
    <row r="18" spans="13:13">
      <c r="M18" s="85" t="s">
        <v>1683</v>
      </c>
    </row>
    <row r="19" spans="13:13">
      <c r="M19" s="85" t="s">
        <v>1684</v>
      </c>
    </row>
    <row r="20" spans="13:13">
      <c r="M20" s="85" t="s">
        <v>1687</v>
      </c>
    </row>
    <row r="21" spans="13:13">
      <c r="M21" s="85" t="s">
        <v>1683</v>
      </c>
    </row>
    <row r="22" spans="13:13">
      <c r="M22" s="85" t="s">
        <v>1684</v>
      </c>
    </row>
    <row r="24" spans="13:57">
      <c r="M24" s="85" t="str">
        <f>C1</f>
        <v>Abu Dhabi</v>
      </c>
      <c r="N24" s="85">
        <f>INDEX(N$33:N$82,$B$1)</f>
        <v>4</v>
      </c>
      <c r="O24" s="85">
        <f t="shared" ref="O24:BE24" si="6">INDEX(O$33:O$82,$B$1)</f>
        <v>2</v>
      </c>
      <c r="P24" s="85">
        <f t="shared" si="6"/>
        <v>0</v>
      </c>
      <c r="Q24" s="85">
        <f t="shared" si="6"/>
        <v>1</v>
      </c>
      <c r="R24" s="85">
        <f t="shared" si="6"/>
        <v>100</v>
      </c>
      <c r="S24" s="85">
        <f t="shared" si="6"/>
        <v>2</v>
      </c>
      <c r="T24" s="85">
        <f t="shared" si="6"/>
        <v>0.5</v>
      </c>
      <c r="U24" s="85">
        <f t="shared" si="6"/>
        <v>3</v>
      </c>
      <c r="V24" s="85">
        <f t="shared" si="6"/>
        <v>0.88</v>
      </c>
      <c r="W24" s="85">
        <f t="shared" si="6"/>
        <v>64</v>
      </c>
      <c r="X24" s="85">
        <f t="shared" si="6"/>
        <v>75</v>
      </c>
      <c r="Y24" s="85">
        <f t="shared" si="6"/>
        <v>2.7</v>
      </c>
      <c r="Z24" s="85">
        <f t="shared" si="6"/>
        <v>2.3</v>
      </c>
      <c r="AA24" s="85">
        <f t="shared" si="6"/>
        <v>100</v>
      </c>
      <c r="AB24" s="85">
        <f t="shared" si="6"/>
        <v>2</v>
      </c>
      <c r="AC24" s="85">
        <f t="shared" si="6"/>
        <v>64</v>
      </c>
      <c r="AD24" s="85">
        <f t="shared" si="6"/>
        <v>61</v>
      </c>
      <c r="AE24" s="85">
        <f t="shared" si="6"/>
        <v>77</v>
      </c>
      <c r="AF24" s="85">
        <f t="shared" si="6"/>
        <v>6.3</v>
      </c>
      <c r="AG24" s="85">
        <f t="shared" si="6"/>
        <v>406</v>
      </c>
      <c r="AH24" s="85">
        <f t="shared" si="6"/>
        <v>8.25</v>
      </c>
      <c r="AI24" s="85">
        <f t="shared" si="6"/>
        <v>5</v>
      </c>
      <c r="AJ24" s="85">
        <f t="shared" si="6"/>
        <v>1</v>
      </c>
      <c r="AK24" s="85">
        <f t="shared" si="6"/>
        <v>2</v>
      </c>
      <c r="AL24" s="85">
        <f t="shared" si="6"/>
        <v>2</v>
      </c>
      <c r="AM24" s="85">
        <f t="shared" si="6"/>
        <v>0</v>
      </c>
      <c r="AN24" s="85">
        <f t="shared" si="6"/>
        <v>83</v>
      </c>
      <c r="AO24" s="85">
        <f t="shared" si="6"/>
        <v>1.9</v>
      </c>
      <c r="AP24" s="85">
        <f t="shared" si="6"/>
        <v>19.5</v>
      </c>
      <c r="AQ24" s="85">
        <f t="shared" si="6"/>
        <v>0.5</v>
      </c>
      <c r="AR24" s="85">
        <f t="shared" si="6"/>
        <v>1</v>
      </c>
      <c r="AS24" s="85">
        <f t="shared" si="6"/>
        <v>1</v>
      </c>
      <c r="AT24" s="85">
        <f t="shared" si="6"/>
        <v>0</v>
      </c>
      <c r="AU24" s="85">
        <f t="shared" si="6"/>
        <v>0</v>
      </c>
      <c r="AV24" s="85">
        <f t="shared" si="6"/>
        <v>3.8</v>
      </c>
      <c r="AW24" s="85">
        <f t="shared" si="6"/>
        <v>45</v>
      </c>
      <c r="AX24" s="85">
        <f t="shared" si="6"/>
        <v>2</v>
      </c>
      <c r="AY24" s="85">
        <f t="shared" si="6"/>
        <v>1</v>
      </c>
      <c r="AZ24" s="85">
        <f t="shared" si="6"/>
        <v>1.1</v>
      </c>
      <c r="BA24" s="85">
        <f t="shared" si="6"/>
        <v>63</v>
      </c>
      <c r="BB24" s="85">
        <f t="shared" si="6"/>
        <v>0.02</v>
      </c>
      <c r="BC24" s="85">
        <f t="shared" si="6"/>
        <v>0</v>
      </c>
      <c r="BD24" s="85">
        <f t="shared" si="6"/>
        <v>6169</v>
      </c>
      <c r="BE24" s="85">
        <f t="shared" si="6"/>
        <v>86.02</v>
      </c>
    </row>
    <row r="25" spans="13:57">
      <c r="M25" s="85" t="str">
        <f>C2</f>
        <v>Paris</v>
      </c>
      <c r="N25" s="85">
        <f>INDEX(N$33:N$82,$B$2)</f>
        <v>3</v>
      </c>
      <c r="O25" s="85">
        <f t="shared" ref="O25:BE25" si="7">INDEX(O$33:O$82,$B$2)</f>
        <v>0</v>
      </c>
      <c r="P25" s="85">
        <f t="shared" si="7"/>
        <v>0</v>
      </c>
      <c r="Q25" s="85">
        <f t="shared" si="7"/>
        <v>1</v>
      </c>
      <c r="R25" s="85">
        <f t="shared" si="7"/>
        <v>100</v>
      </c>
      <c r="S25" s="85">
        <f t="shared" si="7"/>
        <v>1</v>
      </c>
      <c r="T25" s="85">
        <f t="shared" si="7"/>
        <v>1</v>
      </c>
      <c r="U25" s="85">
        <f t="shared" si="7"/>
        <v>4</v>
      </c>
      <c r="V25" s="85">
        <f t="shared" si="7"/>
        <v>0.82</v>
      </c>
      <c r="W25" s="85">
        <f t="shared" si="7"/>
        <v>94.4</v>
      </c>
      <c r="X25" s="85">
        <f t="shared" si="7"/>
        <v>100</v>
      </c>
      <c r="Y25" s="85">
        <f t="shared" si="7"/>
        <v>7.11</v>
      </c>
      <c r="Z25" s="85">
        <f t="shared" si="7"/>
        <v>3.5</v>
      </c>
      <c r="AA25" s="85">
        <f t="shared" si="7"/>
        <v>100</v>
      </c>
      <c r="AB25" s="85">
        <f t="shared" si="7"/>
        <v>1</v>
      </c>
      <c r="AC25" s="85">
        <f t="shared" si="7"/>
        <v>17</v>
      </c>
      <c r="AD25" s="85">
        <f t="shared" si="7"/>
        <v>85.5</v>
      </c>
      <c r="AE25" s="85">
        <f t="shared" si="7"/>
        <v>81.46</v>
      </c>
      <c r="AF25" s="85">
        <f t="shared" si="7"/>
        <v>3.37</v>
      </c>
      <c r="AG25" s="85">
        <f t="shared" si="7"/>
        <v>177</v>
      </c>
      <c r="AH25" s="85">
        <f t="shared" si="7"/>
        <v>8.75</v>
      </c>
      <c r="AI25" s="85">
        <f t="shared" si="7"/>
        <v>0</v>
      </c>
      <c r="AJ25" s="85">
        <f t="shared" si="7"/>
        <v>2</v>
      </c>
      <c r="AK25" s="85">
        <f t="shared" si="7"/>
        <v>1</v>
      </c>
      <c r="AL25" s="85">
        <f t="shared" si="7"/>
        <v>1</v>
      </c>
      <c r="AM25" s="85">
        <f t="shared" si="7"/>
        <v>15.45</v>
      </c>
      <c r="AN25" s="85">
        <f t="shared" si="7"/>
        <v>1061</v>
      </c>
      <c r="AO25" s="85">
        <f t="shared" si="7"/>
        <v>0.8</v>
      </c>
      <c r="AP25" s="85">
        <f t="shared" si="7"/>
        <v>19.1</v>
      </c>
      <c r="AQ25" s="85">
        <f t="shared" si="7"/>
        <v>1</v>
      </c>
      <c r="AR25" s="85">
        <f t="shared" si="7"/>
        <v>1</v>
      </c>
      <c r="AS25" s="85">
        <f t="shared" si="7"/>
        <v>1</v>
      </c>
      <c r="AT25" s="85">
        <f t="shared" si="7"/>
        <v>1</v>
      </c>
      <c r="AU25" s="85">
        <f t="shared" si="7"/>
        <v>0</v>
      </c>
      <c r="AV25" s="85">
        <f t="shared" si="7"/>
        <v>4</v>
      </c>
      <c r="AW25" s="85">
        <f t="shared" si="7"/>
        <v>30</v>
      </c>
      <c r="AX25" s="85">
        <f t="shared" si="7"/>
        <v>2</v>
      </c>
      <c r="AY25" s="85">
        <f t="shared" si="7"/>
        <v>2</v>
      </c>
      <c r="AZ25" s="85">
        <f t="shared" si="7"/>
        <v>9.85</v>
      </c>
      <c r="BA25" s="85">
        <f t="shared" si="7"/>
        <v>68</v>
      </c>
      <c r="BB25" s="85">
        <f t="shared" si="7"/>
        <v>0.6</v>
      </c>
      <c r="BC25" s="85">
        <f t="shared" si="7"/>
        <v>1</v>
      </c>
      <c r="BD25" s="85">
        <f t="shared" si="7"/>
        <v>10885</v>
      </c>
      <c r="BE25" s="85">
        <f t="shared" si="7"/>
        <v>43.88</v>
      </c>
    </row>
    <row r="29" spans="13:57">
      <c r="M29" s="85" t="s">
        <v>1688</v>
      </c>
      <c r="N29" s="85">
        <v>1</v>
      </c>
      <c r="O29" s="85">
        <v>1</v>
      </c>
      <c r="P29" s="85">
        <v>1</v>
      </c>
      <c r="Q29" s="85">
        <v>1</v>
      </c>
      <c r="R29" s="85">
        <v>1</v>
      </c>
      <c r="S29" s="85">
        <v>1</v>
      </c>
      <c r="T29" s="85">
        <v>1</v>
      </c>
      <c r="U29" s="85">
        <v>1</v>
      </c>
      <c r="V29" s="85">
        <v>1</v>
      </c>
      <c r="W29" s="85">
        <v>1</v>
      </c>
      <c r="X29" s="85">
        <v>1</v>
      </c>
      <c r="Y29" s="85">
        <v>1</v>
      </c>
      <c r="Z29" s="85">
        <v>1</v>
      </c>
      <c r="AA29" s="85">
        <v>1</v>
      </c>
      <c r="AB29" s="85">
        <v>1</v>
      </c>
      <c r="AC29" s="85">
        <v>1</v>
      </c>
      <c r="AD29" s="85">
        <v>1</v>
      </c>
      <c r="AE29" s="85">
        <v>1</v>
      </c>
      <c r="AF29" s="85">
        <v>1</v>
      </c>
      <c r="AG29" s="85">
        <v>1</v>
      </c>
      <c r="AH29" s="85">
        <v>1</v>
      </c>
      <c r="AI29" s="85">
        <v>1</v>
      </c>
      <c r="AJ29" s="85">
        <v>1</v>
      </c>
      <c r="AK29" s="85">
        <v>1</v>
      </c>
      <c r="AL29" s="85">
        <v>1</v>
      </c>
      <c r="AM29" s="85">
        <v>1</v>
      </c>
      <c r="AN29" s="85">
        <v>1</v>
      </c>
      <c r="AO29" s="85">
        <v>1</v>
      </c>
      <c r="AP29" s="85">
        <v>1</v>
      </c>
      <c r="AQ29" s="85">
        <v>1</v>
      </c>
      <c r="AR29" s="85">
        <v>1</v>
      </c>
      <c r="AS29" s="85">
        <v>1</v>
      </c>
      <c r="AT29" s="85">
        <v>1</v>
      </c>
      <c r="AU29" s="85">
        <v>1</v>
      </c>
      <c r="AV29" s="85">
        <v>1</v>
      </c>
      <c r="AW29" s="85">
        <v>1</v>
      </c>
      <c r="AX29" s="85">
        <v>1</v>
      </c>
      <c r="AY29" s="85">
        <v>1</v>
      </c>
      <c r="AZ29" s="85">
        <v>1</v>
      </c>
      <c r="BA29" s="85">
        <v>1</v>
      </c>
      <c r="BB29" s="85">
        <v>1</v>
      </c>
      <c r="BC29" s="85">
        <v>1</v>
      </c>
      <c r="BD29" s="85">
        <v>1</v>
      </c>
      <c r="BE29" s="85">
        <v>1</v>
      </c>
    </row>
    <row r="32" spans="4:6">
      <c r="D32" s="85" t="str">
        <f>tblCities!H1</f>
        <v>&lt;none&gt;</v>
      </c>
      <c r="E32" s="85" t="str">
        <f>tblCities!I1</f>
        <v>Low income</v>
      </c>
      <c r="F32" s="85" t="str">
        <f>tblCities!J1</f>
        <v>Lower middle income</v>
      </c>
    </row>
    <row r="33" spans="1:57">
      <c r="A33" s="85">
        <f>tblCities!A3</f>
        <v>1</v>
      </c>
      <c r="B33" s="85">
        <f>tblCities!B3</f>
        <v>0</v>
      </c>
      <c r="C33" s="85" t="str">
        <f>tblCities!C3</f>
        <v>Stockholm</v>
      </c>
      <c r="D33" s="85">
        <f>tblCities!H2</f>
        <v>0</v>
      </c>
      <c r="E33" s="85">
        <f>tblCities!I2</f>
        <v>0</v>
      </c>
      <c r="F33" s="85">
        <f>tblCities!J2</f>
        <v>0</v>
      </c>
      <c r="N33" s="85">
        <f t="shared" ref="N33:W42" si="8">IF(N$29=1,INDEX(aData,N$7,$A33),"n.a.")</f>
        <v>1</v>
      </c>
      <c r="O33" s="85">
        <f t="shared" si="8"/>
        <v>2</v>
      </c>
      <c r="P33" s="85">
        <f t="shared" si="8"/>
        <v>0</v>
      </c>
      <c r="Q33" s="85">
        <f t="shared" si="8"/>
        <v>1</v>
      </c>
      <c r="R33" s="85">
        <f t="shared" si="8"/>
        <v>100</v>
      </c>
      <c r="S33" s="85">
        <f t="shared" si="8"/>
        <v>1</v>
      </c>
      <c r="T33" s="85">
        <f t="shared" si="8"/>
        <v>2.27</v>
      </c>
      <c r="U33" s="85">
        <f t="shared" si="8"/>
        <v>3</v>
      </c>
      <c r="V33" s="85">
        <f t="shared" si="8"/>
        <v>0.948</v>
      </c>
      <c r="W33" s="85">
        <f t="shared" si="8"/>
        <v>100</v>
      </c>
      <c r="X33" s="85">
        <f t="shared" ref="X33:AG42" si="9">IF(X$29=1,INDEX(aData,X$7,$A33),"n.a.")</f>
        <v>1</v>
      </c>
      <c r="Y33" s="85">
        <f t="shared" si="9"/>
        <v>24</v>
      </c>
      <c r="Z33" s="85">
        <f t="shared" si="9"/>
        <v>4.54</v>
      </c>
      <c r="AA33" s="85">
        <f t="shared" si="9"/>
        <v>100</v>
      </c>
      <c r="AB33" s="85">
        <f t="shared" si="9"/>
        <v>1</v>
      </c>
      <c r="AC33" s="85">
        <f t="shared" si="9"/>
        <v>7</v>
      </c>
      <c r="AD33" s="85">
        <f t="shared" si="9"/>
        <v>71.4</v>
      </c>
      <c r="AE33" s="85">
        <f t="shared" si="9"/>
        <v>82.4</v>
      </c>
      <c r="AF33" s="85">
        <f t="shared" si="9"/>
        <v>2</v>
      </c>
      <c r="AG33" s="85">
        <f t="shared" si="9"/>
        <v>179.5</v>
      </c>
      <c r="AH33" s="85">
        <f t="shared" ref="AH33:AQ42" si="10">IF(AH$29=1,INDEX(aData,AH$7,$A33),"n.a.")</f>
        <v>6.26</v>
      </c>
      <c r="AI33" s="85">
        <f t="shared" si="10"/>
        <v>5</v>
      </c>
      <c r="AJ33" s="85">
        <f t="shared" si="10"/>
        <v>4</v>
      </c>
      <c r="AK33" s="85">
        <f t="shared" si="10"/>
        <v>2</v>
      </c>
      <c r="AL33" s="85">
        <f t="shared" si="10"/>
        <v>1</v>
      </c>
      <c r="AM33" s="85">
        <f t="shared" si="10"/>
        <v>1.4</v>
      </c>
      <c r="AN33" s="85">
        <f t="shared" si="10"/>
        <v>155</v>
      </c>
      <c r="AO33" s="85">
        <f t="shared" si="10"/>
        <v>0.5</v>
      </c>
      <c r="AP33" s="85">
        <f t="shared" si="10"/>
        <v>12.1</v>
      </c>
      <c r="AQ33" s="85">
        <f t="shared" si="10"/>
        <v>1</v>
      </c>
      <c r="AR33" s="85">
        <f t="shared" ref="AR33:BE42" si="11">IF(AR$29=1,INDEX(aData,AR$7,$A33),"n.a.")</f>
        <v>1</v>
      </c>
      <c r="AS33" s="85">
        <f t="shared" si="11"/>
        <v>1</v>
      </c>
      <c r="AT33" s="85">
        <f t="shared" si="11"/>
        <v>1</v>
      </c>
      <c r="AU33" s="85">
        <f t="shared" si="11"/>
        <v>1</v>
      </c>
      <c r="AV33" s="85">
        <f t="shared" si="11"/>
        <v>3.2</v>
      </c>
      <c r="AW33" s="85">
        <f t="shared" si="11"/>
        <v>65</v>
      </c>
      <c r="AX33" s="85">
        <f t="shared" si="11"/>
        <v>1</v>
      </c>
      <c r="AY33" s="85">
        <f t="shared" si="11"/>
        <v>1</v>
      </c>
      <c r="AZ33" s="85">
        <f t="shared" si="11"/>
        <v>0.5963</v>
      </c>
      <c r="BA33" s="85">
        <f t="shared" si="11"/>
        <v>10</v>
      </c>
      <c r="BB33" s="85">
        <f t="shared" si="11"/>
        <v>0.5</v>
      </c>
      <c r="BC33" s="85">
        <f t="shared" si="11"/>
        <v>0.4</v>
      </c>
      <c r="BD33" s="85">
        <f t="shared" si="11"/>
        <v>5887</v>
      </c>
      <c r="BE33" s="85">
        <f t="shared" si="11"/>
        <v>77.9</v>
      </c>
    </row>
    <row r="34" spans="1:57">
      <c r="A34" s="85">
        <f>tblCities!A4</f>
        <v>2</v>
      </c>
      <c r="B34" s="85">
        <f>tblCities!B4</f>
        <v>0</v>
      </c>
      <c r="C34" s="85" t="str">
        <f>tblCities!C4</f>
        <v>Johannesburg</v>
      </c>
      <c r="D34" s="85">
        <f>tblCities!H3</f>
        <v>1</v>
      </c>
      <c r="E34" s="85">
        <f>tblCities!I3</f>
        <v>0</v>
      </c>
      <c r="F34" s="85">
        <f>tblCities!J3</f>
        <v>0</v>
      </c>
      <c r="N34" s="85">
        <f t="shared" si="8"/>
        <v>4</v>
      </c>
      <c r="O34" s="85">
        <f t="shared" si="8"/>
        <v>1</v>
      </c>
      <c r="P34" s="85">
        <f t="shared" si="8"/>
        <v>0</v>
      </c>
      <c r="Q34" s="85">
        <f t="shared" si="8"/>
        <v>1</v>
      </c>
      <c r="R34" s="85">
        <f t="shared" si="8"/>
        <v>75</v>
      </c>
      <c r="S34" s="85">
        <f t="shared" si="8"/>
        <v>1</v>
      </c>
      <c r="T34" s="85">
        <f t="shared" si="8"/>
        <v>12</v>
      </c>
      <c r="U34" s="85">
        <f t="shared" si="8"/>
        <v>2</v>
      </c>
      <c r="V34" s="85">
        <f t="shared" si="8"/>
        <v>0.54</v>
      </c>
      <c r="W34" s="85">
        <f t="shared" si="8"/>
        <v>69.4</v>
      </c>
      <c r="X34" s="85">
        <f t="shared" si="9"/>
        <v>58.3</v>
      </c>
      <c r="Y34" s="85">
        <f t="shared" si="9"/>
        <v>1.5</v>
      </c>
      <c r="Z34" s="85">
        <f t="shared" si="9"/>
        <v>0.6</v>
      </c>
      <c r="AA34" s="85">
        <f t="shared" si="9"/>
        <v>87.5</v>
      </c>
      <c r="AB34" s="85">
        <f t="shared" si="9"/>
        <v>3</v>
      </c>
      <c r="AC34" s="85">
        <f t="shared" si="9"/>
        <v>51</v>
      </c>
      <c r="AD34" s="85">
        <f t="shared" si="9"/>
        <v>59.9</v>
      </c>
      <c r="AE34" s="85">
        <f t="shared" si="9"/>
        <v>59.6</v>
      </c>
      <c r="AF34" s="85">
        <f t="shared" si="9"/>
        <v>5</v>
      </c>
      <c r="AG34" s="85">
        <f t="shared" si="9"/>
        <v>67.21</v>
      </c>
      <c r="AH34" s="85">
        <f t="shared" si="10"/>
        <v>3</v>
      </c>
      <c r="AI34" s="85">
        <f t="shared" si="10"/>
        <v>5</v>
      </c>
      <c r="AJ34" s="85">
        <f t="shared" si="10"/>
        <v>3</v>
      </c>
      <c r="AK34" s="85">
        <f t="shared" si="10"/>
        <v>3</v>
      </c>
      <c r="AL34" s="85">
        <f t="shared" si="10"/>
        <v>3</v>
      </c>
      <c r="AM34" s="85">
        <f t="shared" si="10"/>
        <v>7.27272727272727</v>
      </c>
      <c r="AN34" s="85">
        <f t="shared" si="10"/>
        <v>1951</v>
      </c>
      <c r="AO34" s="85">
        <f t="shared" si="10"/>
        <v>9.4</v>
      </c>
      <c r="AP34" s="85">
        <f t="shared" si="10"/>
        <v>23</v>
      </c>
      <c r="AQ34" s="85">
        <f t="shared" si="10"/>
        <v>1</v>
      </c>
      <c r="AR34" s="85">
        <f t="shared" si="11"/>
        <v>1</v>
      </c>
      <c r="AS34" s="85">
        <f t="shared" si="11"/>
        <v>1</v>
      </c>
      <c r="AT34" s="85">
        <f t="shared" si="11"/>
        <v>0</v>
      </c>
      <c r="AU34" s="85">
        <f t="shared" si="11"/>
        <v>1</v>
      </c>
      <c r="AV34" s="85">
        <f t="shared" si="11"/>
        <v>6</v>
      </c>
      <c r="AW34" s="85">
        <f t="shared" si="11"/>
        <v>35</v>
      </c>
      <c r="AX34" s="85">
        <f t="shared" si="11"/>
        <v>5</v>
      </c>
      <c r="AY34" s="85">
        <f t="shared" si="11"/>
        <v>5</v>
      </c>
      <c r="AZ34" s="85">
        <f t="shared" si="11"/>
        <v>3.93</v>
      </c>
      <c r="BA34" s="85">
        <f t="shared" si="11"/>
        <v>45</v>
      </c>
      <c r="BB34" s="85">
        <f t="shared" si="11"/>
        <v>0.8</v>
      </c>
      <c r="BC34" s="85">
        <f t="shared" si="11"/>
        <v>0.1</v>
      </c>
      <c r="BD34" s="85">
        <f t="shared" si="11"/>
        <v>174</v>
      </c>
      <c r="BE34" s="85">
        <f t="shared" si="11"/>
        <v>17.44</v>
      </c>
    </row>
    <row r="35" spans="1:57">
      <c r="A35" s="85">
        <f>tblCities!A5</f>
        <v>3</v>
      </c>
      <c r="B35" s="85">
        <f>tblCities!B5</f>
        <v>0</v>
      </c>
      <c r="C35" s="85" t="str">
        <f>tblCities!C5</f>
        <v>Buenos Aires</v>
      </c>
      <c r="D35" s="85">
        <f>tblCities!H4</f>
        <v>1</v>
      </c>
      <c r="E35" s="85">
        <f>tblCities!I4</f>
        <v>0</v>
      </c>
      <c r="F35" s="85">
        <f>tblCities!J4</f>
        <v>1</v>
      </c>
      <c r="N35" s="85">
        <f t="shared" si="8"/>
        <v>5</v>
      </c>
      <c r="O35" s="85">
        <f t="shared" si="8"/>
        <v>2</v>
      </c>
      <c r="P35" s="85">
        <f t="shared" si="8"/>
        <v>0</v>
      </c>
      <c r="Q35" s="85">
        <f t="shared" si="8"/>
        <v>0</v>
      </c>
      <c r="R35" s="85">
        <f t="shared" si="8"/>
        <v>75</v>
      </c>
      <c r="S35" s="85">
        <f t="shared" si="8"/>
        <v>1</v>
      </c>
      <c r="T35" s="85">
        <f t="shared" si="8"/>
        <v>0.5</v>
      </c>
      <c r="U35" s="85">
        <f t="shared" si="8"/>
        <v>2</v>
      </c>
      <c r="V35" s="85">
        <f t="shared" si="8"/>
        <v>0.6809</v>
      </c>
      <c r="W35" s="85">
        <f t="shared" si="8"/>
        <v>74.7</v>
      </c>
      <c r="X35" s="85">
        <f t="shared" si="9"/>
        <v>87.5</v>
      </c>
      <c r="Y35" s="85">
        <f t="shared" si="9"/>
        <v>4.5</v>
      </c>
      <c r="Z35" s="85">
        <f t="shared" si="9"/>
        <v>3.2</v>
      </c>
      <c r="AA35" s="85">
        <f t="shared" si="9"/>
        <v>97.2</v>
      </c>
      <c r="AB35" s="85">
        <f t="shared" si="9"/>
        <v>2</v>
      </c>
      <c r="AC35" s="85">
        <f t="shared" si="9"/>
        <v>16</v>
      </c>
      <c r="AD35" s="85">
        <f t="shared" si="9"/>
        <v>43.4</v>
      </c>
      <c r="AE35" s="85">
        <f t="shared" si="9"/>
        <v>76.4</v>
      </c>
      <c r="AF35" s="85">
        <f t="shared" si="9"/>
        <v>8.1</v>
      </c>
      <c r="AG35" s="85">
        <f t="shared" si="9"/>
        <v>115.13</v>
      </c>
      <c r="AH35" s="85">
        <f t="shared" si="10"/>
        <v>6</v>
      </c>
      <c r="AI35" s="85">
        <f t="shared" si="10"/>
        <v>5</v>
      </c>
      <c r="AJ35" s="85">
        <f t="shared" si="10"/>
        <v>2</v>
      </c>
      <c r="AK35" s="85">
        <f t="shared" si="10"/>
        <v>1</v>
      </c>
      <c r="AL35" s="85">
        <f t="shared" si="10"/>
        <v>1</v>
      </c>
      <c r="AM35" s="85">
        <f t="shared" si="10"/>
        <v>6.12903225806452</v>
      </c>
      <c r="AN35" s="85">
        <f t="shared" si="10"/>
        <v>235.68</v>
      </c>
      <c r="AO35" s="85">
        <f t="shared" si="10"/>
        <v>37.4</v>
      </c>
      <c r="AP35" s="85">
        <f t="shared" si="10"/>
        <v>20.8</v>
      </c>
      <c r="AQ35" s="85">
        <f t="shared" si="10"/>
        <v>0.5</v>
      </c>
      <c r="AR35" s="85">
        <f t="shared" si="11"/>
        <v>1</v>
      </c>
      <c r="AS35" s="85">
        <f t="shared" si="11"/>
        <v>0</v>
      </c>
      <c r="AT35" s="85">
        <f t="shared" si="11"/>
        <v>1</v>
      </c>
      <c r="AU35" s="85">
        <f t="shared" si="11"/>
        <v>1</v>
      </c>
      <c r="AV35" s="85">
        <f t="shared" si="11"/>
        <v>2.5</v>
      </c>
      <c r="AW35" s="85">
        <f t="shared" si="11"/>
        <v>55</v>
      </c>
      <c r="AX35" s="85">
        <f t="shared" si="11"/>
        <v>3</v>
      </c>
      <c r="AY35" s="85">
        <f t="shared" si="11"/>
        <v>3</v>
      </c>
      <c r="AZ35" s="85">
        <f t="shared" si="11"/>
        <v>1.1</v>
      </c>
      <c r="BA35" s="85">
        <f t="shared" si="11"/>
        <v>29</v>
      </c>
      <c r="BB35" s="85">
        <f t="shared" si="11"/>
        <v>2.6</v>
      </c>
      <c r="BC35" s="85">
        <f t="shared" si="11"/>
        <v>1.1</v>
      </c>
      <c r="BD35" s="85">
        <f t="shared" si="11"/>
        <v>9000</v>
      </c>
      <c r="BE35" s="85">
        <f t="shared" si="11"/>
        <v>38.49</v>
      </c>
    </row>
    <row r="36" spans="1:57">
      <c r="A36" s="85">
        <f>tblCities!A6</f>
        <v>4</v>
      </c>
      <c r="B36" s="85">
        <f>tblCities!B6</f>
        <v>0</v>
      </c>
      <c r="C36" s="85" t="str">
        <f>tblCities!C6</f>
        <v>Sao Paulo</v>
      </c>
      <c r="D36" s="85">
        <f>tblCities!H5</f>
        <v>1</v>
      </c>
      <c r="E36" s="85">
        <f>tblCities!I5</f>
        <v>0</v>
      </c>
      <c r="F36" s="85">
        <f>tblCities!J5</f>
        <v>1</v>
      </c>
      <c r="N36" s="85">
        <f t="shared" si="8"/>
        <v>2</v>
      </c>
      <c r="O36" s="85">
        <f t="shared" si="8"/>
        <v>1</v>
      </c>
      <c r="P36" s="85">
        <f t="shared" si="8"/>
        <v>0</v>
      </c>
      <c r="Q36" s="85">
        <f t="shared" si="8"/>
        <v>1</v>
      </c>
      <c r="R36" s="85">
        <f t="shared" si="8"/>
        <v>75</v>
      </c>
      <c r="S36" s="85">
        <f t="shared" si="8"/>
        <v>1</v>
      </c>
      <c r="T36" s="85">
        <f t="shared" si="8"/>
        <v>7</v>
      </c>
      <c r="U36" s="85">
        <f t="shared" si="8"/>
        <v>3</v>
      </c>
      <c r="V36" s="85">
        <f t="shared" si="8"/>
        <v>0.48</v>
      </c>
      <c r="W36" s="85">
        <f t="shared" si="8"/>
        <v>66.7</v>
      </c>
      <c r="X36" s="85">
        <f t="shared" si="9"/>
        <v>70.8</v>
      </c>
      <c r="Y36" s="85">
        <f t="shared" si="9"/>
        <v>2.6</v>
      </c>
      <c r="Z36" s="85">
        <f t="shared" si="9"/>
        <v>4</v>
      </c>
      <c r="AA36" s="85">
        <f t="shared" si="9"/>
        <v>90.7</v>
      </c>
      <c r="AB36" s="85">
        <f t="shared" si="9"/>
        <v>2.5</v>
      </c>
      <c r="AC36" s="85">
        <f t="shared" si="9"/>
        <v>19</v>
      </c>
      <c r="AD36" s="85">
        <f t="shared" si="9"/>
        <v>73.6</v>
      </c>
      <c r="AE36" s="85">
        <f t="shared" si="9"/>
        <v>71</v>
      </c>
      <c r="AF36" s="85">
        <f t="shared" si="9"/>
        <v>12.4</v>
      </c>
      <c r="AG36" s="85">
        <f t="shared" si="9"/>
        <v>103.72</v>
      </c>
      <c r="AH36" s="85">
        <f t="shared" si="10"/>
        <v>6.25</v>
      </c>
      <c r="AI36" s="85">
        <f t="shared" si="10"/>
        <v>5</v>
      </c>
      <c r="AJ36" s="85">
        <f t="shared" si="10"/>
        <v>2</v>
      </c>
      <c r="AK36" s="85">
        <f t="shared" si="10"/>
        <v>2</v>
      </c>
      <c r="AL36" s="85">
        <f t="shared" si="10"/>
        <v>2</v>
      </c>
      <c r="AM36" s="85">
        <f t="shared" si="10"/>
        <v>183.333333333333</v>
      </c>
      <c r="AN36" s="85">
        <f t="shared" si="10"/>
        <v>236</v>
      </c>
      <c r="AO36" s="85">
        <f t="shared" si="10"/>
        <v>5.6</v>
      </c>
      <c r="AP36" s="85">
        <f t="shared" si="10"/>
        <v>26.9</v>
      </c>
      <c r="AQ36" s="85">
        <f t="shared" si="10"/>
        <v>0.5</v>
      </c>
      <c r="AR36" s="85">
        <f t="shared" si="11"/>
        <v>1</v>
      </c>
      <c r="AS36" s="85">
        <f t="shared" si="11"/>
        <v>0</v>
      </c>
      <c r="AT36" s="85">
        <f t="shared" si="11"/>
        <v>0</v>
      </c>
      <c r="AU36" s="85">
        <f t="shared" si="11"/>
        <v>1</v>
      </c>
      <c r="AV36" s="85">
        <f t="shared" si="11"/>
        <v>3.5</v>
      </c>
      <c r="AW36" s="85">
        <f t="shared" si="11"/>
        <v>35</v>
      </c>
      <c r="AX36" s="85">
        <f t="shared" si="11"/>
        <v>4</v>
      </c>
      <c r="AY36" s="85">
        <f t="shared" si="11"/>
        <v>4</v>
      </c>
      <c r="AZ36" s="85">
        <f t="shared" si="11"/>
        <v>17</v>
      </c>
      <c r="BA36" s="85">
        <f t="shared" si="11"/>
        <v>37</v>
      </c>
      <c r="BB36" s="85">
        <f t="shared" si="11"/>
        <v>0.7</v>
      </c>
      <c r="BC36" s="85">
        <f t="shared" si="11"/>
        <v>0.2</v>
      </c>
      <c r="BD36" s="85">
        <f t="shared" si="11"/>
        <v>599.12</v>
      </c>
      <c r="BE36" s="85">
        <f t="shared" si="11"/>
        <v>24.86</v>
      </c>
    </row>
    <row r="37" spans="1:57">
      <c r="A37" s="85">
        <f>tblCities!A7</f>
        <v>5</v>
      </c>
      <c r="B37" s="85">
        <f>tblCities!B7</f>
        <v>0</v>
      </c>
      <c r="C37" s="85" t="str">
        <f>tblCities!C7</f>
        <v>Rio de Janeiro</v>
      </c>
      <c r="D37" s="85">
        <f>tblCities!H6</f>
        <v>1</v>
      </c>
      <c r="E37" s="85">
        <f>tblCities!I6</f>
        <v>0</v>
      </c>
      <c r="F37" s="85">
        <f>tblCities!J6</f>
        <v>1</v>
      </c>
      <c r="N37" s="85">
        <f t="shared" si="8"/>
        <v>2</v>
      </c>
      <c r="O37" s="85">
        <f t="shared" si="8"/>
        <v>1</v>
      </c>
      <c r="P37" s="85">
        <f t="shared" si="8"/>
        <v>0</v>
      </c>
      <c r="Q37" s="85">
        <f t="shared" si="8"/>
        <v>1</v>
      </c>
      <c r="R37" s="85">
        <f t="shared" si="8"/>
        <v>75</v>
      </c>
      <c r="S37" s="85">
        <f t="shared" si="8"/>
        <v>1</v>
      </c>
      <c r="T37" s="85">
        <f t="shared" si="8"/>
        <v>7</v>
      </c>
      <c r="U37" s="85">
        <f t="shared" si="8"/>
        <v>3</v>
      </c>
      <c r="V37" s="85">
        <f t="shared" si="8"/>
        <v>0.47</v>
      </c>
      <c r="W37" s="85">
        <f t="shared" si="8"/>
        <v>93.1</v>
      </c>
      <c r="X37" s="85">
        <f t="shared" si="9"/>
        <v>66.7</v>
      </c>
      <c r="Y37" s="85">
        <f t="shared" si="9"/>
        <v>1.9</v>
      </c>
      <c r="Z37" s="85">
        <f t="shared" si="9"/>
        <v>3.6</v>
      </c>
      <c r="AA37" s="85">
        <f t="shared" si="9"/>
        <v>90.7</v>
      </c>
      <c r="AB37" s="85">
        <f t="shared" si="9"/>
        <v>2.5</v>
      </c>
      <c r="AC37" s="85">
        <f t="shared" si="9"/>
        <v>36</v>
      </c>
      <c r="AD37" s="85">
        <f t="shared" si="9"/>
        <v>54.6</v>
      </c>
      <c r="AE37" s="85">
        <f t="shared" si="9"/>
        <v>72.75</v>
      </c>
      <c r="AF37" s="85">
        <f t="shared" si="9"/>
        <v>19.88</v>
      </c>
      <c r="AG37" s="85">
        <f t="shared" si="9"/>
        <v>103.72</v>
      </c>
      <c r="AH37" s="85">
        <f t="shared" si="10"/>
        <v>6.25</v>
      </c>
      <c r="AI37" s="85">
        <f t="shared" si="10"/>
        <v>5</v>
      </c>
      <c r="AJ37" s="85">
        <f t="shared" si="10"/>
        <v>3</v>
      </c>
      <c r="AK37" s="85">
        <f t="shared" si="10"/>
        <v>1</v>
      </c>
      <c r="AL37" s="85">
        <f t="shared" si="10"/>
        <v>3</v>
      </c>
      <c r="AM37" s="85">
        <f t="shared" si="10"/>
        <v>34.6456692913386</v>
      </c>
      <c r="AN37" s="85">
        <f t="shared" si="10"/>
        <v>344</v>
      </c>
      <c r="AO37" s="85">
        <f t="shared" si="10"/>
        <v>5.5</v>
      </c>
      <c r="AP37" s="85">
        <f t="shared" si="10"/>
        <v>26.9</v>
      </c>
      <c r="AQ37" s="85">
        <f t="shared" si="10"/>
        <v>1</v>
      </c>
      <c r="AR37" s="85">
        <f t="shared" si="11"/>
        <v>1</v>
      </c>
      <c r="AS37" s="85">
        <f t="shared" si="11"/>
        <v>1</v>
      </c>
      <c r="AT37" s="85">
        <f t="shared" si="11"/>
        <v>0</v>
      </c>
      <c r="AU37" s="85">
        <f t="shared" si="11"/>
        <v>1</v>
      </c>
      <c r="AV37" s="85">
        <f t="shared" si="11"/>
        <v>3.5</v>
      </c>
      <c r="AW37" s="85">
        <f t="shared" si="11"/>
        <v>35</v>
      </c>
      <c r="AX37" s="85">
        <f t="shared" si="11"/>
        <v>4</v>
      </c>
      <c r="AY37" s="85">
        <f t="shared" si="11"/>
        <v>4</v>
      </c>
      <c r="AZ37" s="85">
        <f t="shared" si="11"/>
        <v>17</v>
      </c>
      <c r="BA37" s="85">
        <f t="shared" si="11"/>
        <v>37</v>
      </c>
      <c r="BB37" s="85">
        <f t="shared" si="11"/>
        <v>0.7</v>
      </c>
      <c r="BC37" s="85">
        <f t="shared" si="11"/>
        <v>0</v>
      </c>
      <c r="BD37" s="85">
        <f t="shared" si="11"/>
        <v>5885</v>
      </c>
      <c r="BE37" s="85">
        <f t="shared" si="11"/>
        <v>25.32</v>
      </c>
    </row>
    <row r="38" spans="1:57">
      <c r="A38" s="85">
        <f>tblCities!A8</f>
        <v>6</v>
      </c>
      <c r="B38" s="85">
        <f>tblCities!B8</f>
        <v>0</v>
      </c>
      <c r="C38" s="85" t="str">
        <f>tblCities!C8</f>
        <v>Los Angeles</v>
      </c>
      <c r="D38" s="85">
        <f>tblCities!H7</f>
        <v>1</v>
      </c>
      <c r="E38" s="85">
        <f>tblCities!I7</f>
        <v>0</v>
      </c>
      <c r="F38" s="85">
        <f>tblCities!J7</f>
        <v>1</v>
      </c>
      <c r="N38" s="85">
        <f t="shared" si="8"/>
        <v>2</v>
      </c>
      <c r="O38" s="85">
        <f t="shared" si="8"/>
        <v>2</v>
      </c>
      <c r="P38" s="85">
        <f t="shared" si="8"/>
        <v>0</v>
      </c>
      <c r="Q38" s="85">
        <f t="shared" si="8"/>
        <v>1</v>
      </c>
      <c r="R38" s="85">
        <f t="shared" si="8"/>
        <v>100</v>
      </c>
      <c r="S38" s="85">
        <f t="shared" si="8"/>
        <v>2</v>
      </c>
      <c r="T38" s="85">
        <f t="shared" si="8"/>
        <v>4</v>
      </c>
      <c r="U38" s="85">
        <f t="shared" si="8"/>
        <v>3</v>
      </c>
      <c r="V38" s="85">
        <f t="shared" si="8"/>
        <v>0.86</v>
      </c>
      <c r="W38" s="85">
        <f t="shared" si="8"/>
        <v>94.4</v>
      </c>
      <c r="X38" s="85">
        <f t="shared" si="9"/>
        <v>91.7</v>
      </c>
      <c r="Y38" s="85">
        <f t="shared" si="9"/>
        <v>1.23</v>
      </c>
      <c r="Z38" s="85">
        <f t="shared" si="9"/>
        <v>2.58</v>
      </c>
      <c r="AA38" s="85">
        <f t="shared" si="9"/>
        <v>96.4</v>
      </c>
      <c r="AB38" s="85">
        <f t="shared" si="9"/>
        <v>1.5</v>
      </c>
      <c r="AC38" s="85">
        <f t="shared" si="9"/>
        <v>20</v>
      </c>
      <c r="AD38" s="85">
        <f t="shared" si="9"/>
        <v>81.7</v>
      </c>
      <c r="AE38" s="85">
        <f t="shared" si="9"/>
        <v>80.3</v>
      </c>
      <c r="AF38" s="85">
        <f t="shared" si="9"/>
        <v>4.7</v>
      </c>
      <c r="AG38" s="85">
        <f t="shared" si="9"/>
        <v>354.01</v>
      </c>
      <c r="AH38" s="85">
        <f t="shared" si="10"/>
        <v>7.5</v>
      </c>
      <c r="AI38" s="85">
        <f t="shared" si="10"/>
        <v>5</v>
      </c>
      <c r="AJ38" s="85">
        <f t="shared" si="10"/>
        <v>2</v>
      </c>
      <c r="AK38" s="85">
        <f t="shared" si="10"/>
        <v>1</v>
      </c>
      <c r="AL38" s="85">
        <f t="shared" si="10"/>
        <v>2</v>
      </c>
      <c r="AM38" s="85">
        <f t="shared" si="10"/>
        <v>3.5</v>
      </c>
      <c r="AN38" s="85">
        <f t="shared" si="10"/>
        <v>427</v>
      </c>
      <c r="AO38" s="85">
        <f t="shared" si="10"/>
        <v>2.6</v>
      </c>
      <c r="AP38" s="85">
        <f t="shared" si="10"/>
        <v>20</v>
      </c>
      <c r="AQ38" s="85">
        <f t="shared" si="10"/>
        <v>1</v>
      </c>
      <c r="AR38" s="85">
        <f t="shared" si="11"/>
        <v>1</v>
      </c>
      <c r="AS38" s="85">
        <f t="shared" si="11"/>
        <v>1</v>
      </c>
      <c r="AT38" s="85">
        <f t="shared" si="11"/>
        <v>1</v>
      </c>
      <c r="AU38" s="85">
        <f t="shared" si="11"/>
        <v>1</v>
      </c>
      <c r="AV38" s="85">
        <f t="shared" si="11"/>
        <v>3.9</v>
      </c>
      <c r="AW38" s="85">
        <f t="shared" si="11"/>
        <v>10</v>
      </c>
      <c r="AX38" s="85">
        <f t="shared" si="11"/>
        <v>2</v>
      </c>
      <c r="AY38" s="85">
        <f t="shared" si="11"/>
        <v>2</v>
      </c>
      <c r="AZ38" s="85">
        <f t="shared" si="11"/>
        <v>625.63</v>
      </c>
      <c r="BA38" s="85">
        <f t="shared" si="11"/>
        <v>71</v>
      </c>
      <c r="BB38" s="85">
        <f t="shared" si="11"/>
        <v>2.4</v>
      </c>
      <c r="BC38" s="85">
        <f t="shared" si="11"/>
        <v>0.8</v>
      </c>
      <c r="BD38" s="85">
        <f t="shared" si="11"/>
        <v>936</v>
      </c>
      <c r="BE38" s="85">
        <f t="shared" si="11"/>
        <v>48.22</v>
      </c>
    </row>
    <row r="39" spans="1:57">
      <c r="A39" s="85">
        <f>tblCities!A9</f>
        <v>7</v>
      </c>
      <c r="B39" s="85">
        <f>tblCities!B9</f>
        <v>0</v>
      </c>
      <c r="C39" s="85" t="str">
        <f>tblCities!C9</f>
        <v>San Francisco</v>
      </c>
      <c r="D39" s="85">
        <f>tblCities!H8</f>
        <v>1</v>
      </c>
      <c r="E39" s="85">
        <f>tblCities!I8</f>
        <v>0</v>
      </c>
      <c r="F39" s="85">
        <f>tblCities!J8</f>
        <v>0</v>
      </c>
      <c r="N39" s="85">
        <f t="shared" si="8"/>
        <v>2</v>
      </c>
      <c r="O39" s="85">
        <f t="shared" si="8"/>
        <v>2</v>
      </c>
      <c r="P39" s="85">
        <f t="shared" si="8"/>
        <v>0</v>
      </c>
      <c r="Q39" s="85">
        <f t="shared" si="8"/>
        <v>1</v>
      </c>
      <c r="R39" s="85">
        <f t="shared" si="8"/>
        <v>100</v>
      </c>
      <c r="S39" s="85">
        <f t="shared" si="8"/>
        <v>2</v>
      </c>
      <c r="T39" s="85">
        <f t="shared" si="8"/>
        <v>4</v>
      </c>
      <c r="U39" s="85">
        <f t="shared" si="8"/>
        <v>3</v>
      </c>
      <c r="V39" s="85">
        <f t="shared" si="8"/>
        <v>0.8</v>
      </c>
      <c r="W39" s="85">
        <f t="shared" si="8"/>
        <v>93.3</v>
      </c>
      <c r="X39" s="85">
        <f t="shared" si="9"/>
        <v>91.7</v>
      </c>
      <c r="Y39" s="85">
        <f t="shared" si="9"/>
        <v>3</v>
      </c>
      <c r="Z39" s="85">
        <f t="shared" si="9"/>
        <v>2.39</v>
      </c>
      <c r="AA39" s="85">
        <f t="shared" si="9"/>
        <v>96.4</v>
      </c>
      <c r="AB39" s="85">
        <f t="shared" si="9"/>
        <v>1.5</v>
      </c>
      <c r="AC39" s="85">
        <f t="shared" si="9"/>
        <v>10</v>
      </c>
      <c r="AD39" s="85">
        <f t="shared" si="9"/>
        <v>87.4</v>
      </c>
      <c r="AE39" s="85">
        <f t="shared" si="9"/>
        <v>79.9</v>
      </c>
      <c r="AF39" s="85">
        <f t="shared" si="9"/>
        <v>2.9</v>
      </c>
      <c r="AG39" s="85">
        <f t="shared" si="9"/>
        <v>166.04</v>
      </c>
      <c r="AH39" s="85">
        <f t="shared" si="10"/>
        <v>7.5</v>
      </c>
      <c r="AI39" s="85">
        <f t="shared" si="10"/>
        <v>5</v>
      </c>
      <c r="AJ39" s="85">
        <f t="shared" si="10"/>
        <v>2</v>
      </c>
      <c r="AK39" s="85">
        <f t="shared" si="10"/>
        <v>1</v>
      </c>
      <c r="AL39" s="85">
        <f t="shared" si="10"/>
        <v>1</v>
      </c>
      <c r="AM39" s="85">
        <f t="shared" si="10"/>
        <v>17.5</v>
      </c>
      <c r="AN39" s="85">
        <f t="shared" si="10"/>
        <v>457</v>
      </c>
      <c r="AO39" s="85">
        <f t="shared" si="10"/>
        <v>2</v>
      </c>
      <c r="AP39" s="85">
        <f t="shared" si="10"/>
        <v>20</v>
      </c>
      <c r="AQ39" s="85">
        <f t="shared" si="10"/>
        <v>1</v>
      </c>
      <c r="AR39" s="85">
        <f t="shared" si="11"/>
        <v>1</v>
      </c>
      <c r="AS39" s="85">
        <f t="shared" si="11"/>
        <v>1</v>
      </c>
      <c r="AT39" s="85">
        <f t="shared" si="11"/>
        <v>1</v>
      </c>
      <c r="AU39" s="85">
        <f t="shared" si="11"/>
        <v>1</v>
      </c>
      <c r="AV39" s="85">
        <f t="shared" si="11"/>
        <v>3.9</v>
      </c>
      <c r="AW39" s="85">
        <f t="shared" si="11"/>
        <v>10</v>
      </c>
      <c r="AX39" s="85">
        <f t="shared" si="11"/>
        <v>2</v>
      </c>
      <c r="AY39" s="85">
        <f t="shared" si="11"/>
        <v>2</v>
      </c>
      <c r="AZ39" s="85">
        <f t="shared" si="11"/>
        <v>625.63</v>
      </c>
      <c r="BA39" s="85">
        <f t="shared" si="11"/>
        <v>71</v>
      </c>
      <c r="BB39" s="85">
        <f t="shared" si="11"/>
        <v>2.4</v>
      </c>
      <c r="BC39" s="85">
        <f t="shared" si="11"/>
        <v>0.1</v>
      </c>
      <c r="BD39" s="85">
        <f t="shared" si="11"/>
        <v>110</v>
      </c>
      <c r="BE39" s="85">
        <f t="shared" si="11"/>
        <v>58.25</v>
      </c>
    </row>
    <row r="40" spans="1:57">
      <c r="A40" s="85">
        <f>tblCities!A10</f>
        <v>8</v>
      </c>
      <c r="B40" s="85">
        <f>tblCities!B10</f>
        <v>0</v>
      </c>
      <c r="C40" s="85" t="str">
        <f>tblCities!C10</f>
        <v>Toronto</v>
      </c>
      <c r="D40" s="85">
        <f>tblCities!H9</f>
        <v>1</v>
      </c>
      <c r="E40" s="85">
        <f>tblCities!I9</f>
        <v>0</v>
      </c>
      <c r="F40" s="85">
        <f>tblCities!J9</f>
        <v>0</v>
      </c>
      <c r="N40" s="85">
        <f t="shared" si="8"/>
        <v>3</v>
      </c>
      <c r="O40" s="85">
        <f t="shared" si="8"/>
        <v>2</v>
      </c>
      <c r="P40" s="85">
        <f t="shared" si="8"/>
        <v>0</v>
      </c>
      <c r="Q40" s="85">
        <f t="shared" si="8"/>
        <v>1</v>
      </c>
      <c r="R40" s="85">
        <f t="shared" si="8"/>
        <v>100</v>
      </c>
      <c r="S40" s="85">
        <f t="shared" si="8"/>
        <v>2</v>
      </c>
      <c r="T40" s="85">
        <f t="shared" si="8"/>
        <v>4</v>
      </c>
      <c r="U40" s="85">
        <f t="shared" si="8"/>
        <v>3</v>
      </c>
      <c r="V40" s="85">
        <f t="shared" si="8"/>
        <v>0.81</v>
      </c>
      <c r="W40" s="85">
        <f t="shared" si="8"/>
        <v>60</v>
      </c>
      <c r="X40" s="85">
        <f t="shared" si="9"/>
        <v>100</v>
      </c>
      <c r="Y40" s="85">
        <f t="shared" si="9"/>
        <v>2.5</v>
      </c>
      <c r="Z40" s="85">
        <f t="shared" si="9"/>
        <v>0.9</v>
      </c>
      <c r="AA40" s="85">
        <f t="shared" si="9"/>
        <v>99.4</v>
      </c>
      <c r="AB40" s="85">
        <f t="shared" si="9"/>
        <v>1</v>
      </c>
      <c r="AC40" s="85">
        <f t="shared" si="9"/>
        <v>8</v>
      </c>
      <c r="AD40" s="85">
        <f t="shared" si="9"/>
        <v>83.5</v>
      </c>
      <c r="AE40" s="85">
        <f t="shared" si="9"/>
        <v>80.6</v>
      </c>
      <c r="AF40" s="85">
        <f t="shared" si="9"/>
        <v>6.4</v>
      </c>
      <c r="AG40" s="85">
        <f t="shared" si="9"/>
        <v>143.2</v>
      </c>
      <c r="AH40" s="85">
        <f t="shared" si="10"/>
        <v>7.5</v>
      </c>
      <c r="AI40" s="85">
        <f t="shared" si="10"/>
        <v>5</v>
      </c>
      <c r="AJ40" s="85">
        <f t="shared" si="10"/>
        <v>2</v>
      </c>
      <c r="AK40" s="85">
        <f t="shared" si="10"/>
        <v>1</v>
      </c>
      <c r="AL40" s="85">
        <f t="shared" si="10"/>
        <v>1</v>
      </c>
      <c r="AM40" s="85">
        <f t="shared" si="10"/>
        <v>1.42857142857143</v>
      </c>
      <c r="AN40" s="85">
        <f t="shared" si="10"/>
        <v>863</v>
      </c>
      <c r="AO40" s="85">
        <f t="shared" si="10"/>
        <v>0.4</v>
      </c>
      <c r="AP40" s="85">
        <f t="shared" si="10"/>
        <v>13.2</v>
      </c>
      <c r="AQ40" s="85">
        <f t="shared" si="10"/>
        <v>1</v>
      </c>
      <c r="AR40" s="85">
        <f t="shared" si="11"/>
        <v>1</v>
      </c>
      <c r="AS40" s="85">
        <f t="shared" si="11"/>
        <v>1</v>
      </c>
      <c r="AT40" s="85">
        <f t="shared" si="11"/>
        <v>1</v>
      </c>
      <c r="AU40" s="85">
        <f t="shared" si="11"/>
        <v>1</v>
      </c>
      <c r="AV40" s="85">
        <f t="shared" si="11"/>
        <v>3</v>
      </c>
      <c r="AW40" s="85">
        <f t="shared" si="11"/>
        <v>5</v>
      </c>
      <c r="AX40" s="85">
        <f t="shared" si="11"/>
        <v>1</v>
      </c>
      <c r="AY40" s="85">
        <f t="shared" si="11"/>
        <v>1</v>
      </c>
      <c r="AZ40" s="85">
        <f t="shared" si="11"/>
        <v>77.83</v>
      </c>
      <c r="BA40" s="85">
        <f t="shared" si="11"/>
        <v>89</v>
      </c>
      <c r="BB40" s="85">
        <f t="shared" si="11"/>
        <v>1.4</v>
      </c>
      <c r="BC40" s="85">
        <f t="shared" si="11"/>
        <v>0.1</v>
      </c>
      <c r="BD40" s="85">
        <f t="shared" si="11"/>
        <v>576</v>
      </c>
      <c r="BE40" s="85">
        <f t="shared" si="11"/>
        <v>68.46</v>
      </c>
    </row>
    <row r="41" spans="1:57">
      <c r="A41" s="85">
        <f>tblCities!A11</f>
        <v>9</v>
      </c>
      <c r="B41" s="85">
        <f>tblCities!B11</f>
        <v>0</v>
      </c>
      <c r="C41" s="85" t="str">
        <f>tblCities!C11</f>
        <v>Montreal</v>
      </c>
      <c r="D41" s="85">
        <f>tblCities!H10</f>
        <v>1</v>
      </c>
      <c r="E41" s="85">
        <f>tblCities!I10</f>
        <v>0</v>
      </c>
      <c r="F41" s="85">
        <f>tblCities!J10</f>
        <v>0</v>
      </c>
      <c r="N41" s="85">
        <f t="shared" si="8"/>
        <v>3</v>
      </c>
      <c r="O41" s="85">
        <f t="shared" si="8"/>
        <v>2</v>
      </c>
      <c r="P41" s="85">
        <f t="shared" si="8"/>
        <v>0</v>
      </c>
      <c r="Q41" s="85">
        <f t="shared" si="8"/>
        <v>2</v>
      </c>
      <c r="R41" s="85">
        <f t="shared" si="8"/>
        <v>100</v>
      </c>
      <c r="S41" s="85">
        <f t="shared" si="8"/>
        <v>1</v>
      </c>
      <c r="T41" s="85">
        <f t="shared" si="8"/>
        <v>4</v>
      </c>
      <c r="U41" s="85">
        <f t="shared" si="8"/>
        <v>3</v>
      </c>
      <c r="V41" s="85">
        <f t="shared" si="8"/>
        <v>0.81</v>
      </c>
      <c r="W41" s="85">
        <f t="shared" si="8"/>
        <v>74.4</v>
      </c>
      <c r="X41" s="85">
        <f t="shared" si="9"/>
        <v>100</v>
      </c>
      <c r="Y41" s="85">
        <f t="shared" si="9"/>
        <v>13.03</v>
      </c>
      <c r="Z41" s="85">
        <f t="shared" si="9"/>
        <v>1.11</v>
      </c>
      <c r="AA41" s="85">
        <f t="shared" si="9"/>
        <v>99.4</v>
      </c>
      <c r="AB41" s="85">
        <f t="shared" si="9"/>
        <v>1</v>
      </c>
      <c r="AC41" s="85">
        <f t="shared" si="9"/>
        <v>9</v>
      </c>
      <c r="AD41" s="85">
        <f t="shared" si="9"/>
        <v>47.2</v>
      </c>
      <c r="AE41" s="85">
        <f t="shared" si="9"/>
        <v>81.2</v>
      </c>
      <c r="AF41" s="85">
        <f t="shared" si="9"/>
        <v>4.9</v>
      </c>
      <c r="AG41" s="85">
        <f t="shared" si="9"/>
        <v>165.5</v>
      </c>
      <c r="AH41" s="85">
        <f t="shared" si="10"/>
        <v>7.5</v>
      </c>
      <c r="AI41" s="85">
        <f t="shared" si="10"/>
        <v>5</v>
      </c>
      <c r="AJ41" s="85">
        <f t="shared" si="10"/>
        <v>2</v>
      </c>
      <c r="AK41" s="85">
        <f t="shared" si="10"/>
        <v>1</v>
      </c>
      <c r="AL41" s="85">
        <f t="shared" si="10"/>
        <v>1</v>
      </c>
      <c r="AM41" s="85">
        <f t="shared" si="10"/>
        <v>2.42424242424242</v>
      </c>
      <c r="AN41" s="85">
        <f t="shared" si="10"/>
        <v>387</v>
      </c>
      <c r="AO41" s="85">
        <f t="shared" si="10"/>
        <v>0.2</v>
      </c>
      <c r="AP41" s="85">
        <f t="shared" si="10"/>
        <v>13.1</v>
      </c>
      <c r="AQ41" s="85">
        <f t="shared" si="10"/>
        <v>1</v>
      </c>
      <c r="AR41" s="85">
        <f t="shared" si="11"/>
        <v>1</v>
      </c>
      <c r="AS41" s="85">
        <f t="shared" si="11"/>
        <v>1</v>
      </c>
      <c r="AT41" s="85">
        <f t="shared" si="11"/>
        <v>0</v>
      </c>
      <c r="AU41" s="85">
        <f t="shared" si="11"/>
        <v>0</v>
      </c>
      <c r="AV41" s="85">
        <f t="shared" si="11"/>
        <v>3</v>
      </c>
      <c r="AW41" s="85">
        <f t="shared" si="11"/>
        <v>5</v>
      </c>
      <c r="AX41" s="85">
        <f t="shared" si="11"/>
        <v>2</v>
      </c>
      <c r="AY41" s="85">
        <f t="shared" si="11"/>
        <v>1</v>
      </c>
      <c r="AZ41" s="85">
        <f t="shared" si="11"/>
        <v>77.83</v>
      </c>
      <c r="BA41" s="85">
        <f t="shared" si="11"/>
        <v>89</v>
      </c>
      <c r="BB41" s="85">
        <f t="shared" si="11"/>
        <v>1.4</v>
      </c>
      <c r="BC41" s="85">
        <f t="shared" si="11"/>
        <v>0.2</v>
      </c>
      <c r="BD41" s="85">
        <f t="shared" si="11"/>
        <v>576</v>
      </c>
      <c r="BE41" s="85">
        <f t="shared" si="11"/>
        <v>61.79</v>
      </c>
    </row>
    <row r="42" spans="1:57">
      <c r="A42" s="85">
        <f>tblCities!A12</f>
        <v>10</v>
      </c>
      <c r="B42" s="85">
        <f>tblCities!B12</f>
        <v>0</v>
      </c>
      <c r="C42" s="85" t="str">
        <f>tblCities!C12</f>
        <v>Chicago</v>
      </c>
      <c r="D42" s="85">
        <f>tblCities!H11</f>
        <v>1</v>
      </c>
      <c r="E42" s="85">
        <f>tblCities!I11</f>
        <v>0</v>
      </c>
      <c r="F42" s="85">
        <f>tblCities!J11</f>
        <v>0</v>
      </c>
      <c r="N42" s="85">
        <f t="shared" si="8"/>
        <v>2</v>
      </c>
      <c r="O42" s="85">
        <f t="shared" si="8"/>
        <v>2</v>
      </c>
      <c r="P42" s="85">
        <f t="shared" si="8"/>
        <v>0</v>
      </c>
      <c r="Q42" s="85">
        <f t="shared" si="8"/>
        <v>1</v>
      </c>
      <c r="R42" s="85">
        <f t="shared" si="8"/>
        <v>100</v>
      </c>
      <c r="S42" s="85">
        <f t="shared" si="8"/>
        <v>2</v>
      </c>
      <c r="T42" s="85">
        <f t="shared" si="8"/>
        <v>4</v>
      </c>
      <c r="U42" s="85">
        <f t="shared" si="8"/>
        <v>3</v>
      </c>
      <c r="V42" s="85">
        <f t="shared" si="8"/>
        <v>0.75</v>
      </c>
      <c r="W42" s="85">
        <f t="shared" si="8"/>
        <v>87.8</v>
      </c>
      <c r="X42" s="85">
        <f t="shared" si="9"/>
        <v>91.7</v>
      </c>
      <c r="Y42" s="85">
        <f t="shared" si="9"/>
        <v>2.5</v>
      </c>
      <c r="Z42" s="85">
        <f t="shared" si="9"/>
        <v>2.63</v>
      </c>
      <c r="AA42" s="85">
        <f t="shared" si="9"/>
        <v>96.4</v>
      </c>
      <c r="AB42" s="85">
        <f t="shared" si="9"/>
        <v>1.5</v>
      </c>
      <c r="AC42" s="85">
        <f t="shared" si="9"/>
        <v>13</v>
      </c>
      <c r="AD42" s="85">
        <f t="shared" si="9"/>
        <v>82.2</v>
      </c>
      <c r="AE42" s="85">
        <f t="shared" si="9"/>
        <v>77.8</v>
      </c>
      <c r="AF42" s="85">
        <f t="shared" si="9"/>
        <v>6.8</v>
      </c>
      <c r="AG42" s="85">
        <f t="shared" si="9"/>
        <v>187.3</v>
      </c>
      <c r="AH42" s="85">
        <f t="shared" si="10"/>
        <v>7.5</v>
      </c>
      <c r="AI42" s="85">
        <f t="shared" si="10"/>
        <v>5</v>
      </c>
      <c r="AJ42" s="85">
        <f t="shared" si="10"/>
        <v>2</v>
      </c>
      <c r="AK42" s="85">
        <f t="shared" si="10"/>
        <v>1</v>
      </c>
      <c r="AL42" s="85">
        <f t="shared" si="10"/>
        <v>1</v>
      </c>
      <c r="AM42" s="85">
        <f t="shared" si="10"/>
        <v>14.3646408839779</v>
      </c>
      <c r="AN42" s="85">
        <f t="shared" si="10"/>
        <v>597</v>
      </c>
      <c r="AO42" s="85">
        <f t="shared" si="10"/>
        <v>1.8</v>
      </c>
      <c r="AP42" s="85">
        <f t="shared" si="10"/>
        <v>20</v>
      </c>
      <c r="AQ42" s="85">
        <f t="shared" si="10"/>
        <v>1</v>
      </c>
      <c r="AR42" s="85">
        <f t="shared" si="11"/>
        <v>1</v>
      </c>
      <c r="AS42" s="85">
        <f t="shared" si="11"/>
        <v>1</v>
      </c>
      <c r="AT42" s="85">
        <f t="shared" si="11"/>
        <v>1</v>
      </c>
      <c r="AU42" s="85">
        <f t="shared" si="11"/>
        <v>1</v>
      </c>
      <c r="AV42" s="85">
        <f t="shared" si="11"/>
        <v>4.2</v>
      </c>
      <c r="AW42" s="85">
        <f t="shared" si="11"/>
        <v>10</v>
      </c>
      <c r="AX42" s="85">
        <f t="shared" si="11"/>
        <v>2</v>
      </c>
      <c r="AY42" s="85">
        <f t="shared" si="11"/>
        <v>2</v>
      </c>
      <c r="AZ42" s="85">
        <f t="shared" si="11"/>
        <v>625.63</v>
      </c>
      <c r="BA42" s="85">
        <f t="shared" si="11"/>
        <v>71</v>
      </c>
      <c r="BB42" s="85">
        <f t="shared" si="11"/>
        <v>2.4</v>
      </c>
      <c r="BC42" s="85">
        <f t="shared" si="11"/>
        <v>0</v>
      </c>
      <c r="BD42" s="85">
        <f t="shared" si="11"/>
        <v>1459</v>
      </c>
      <c r="BE42" s="85">
        <f t="shared" si="11"/>
        <v>39.99</v>
      </c>
    </row>
    <row r="43" spans="1:57">
      <c r="A43" s="85">
        <f>tblCities!A13</f>
        <v>11</v>
      </c>
      <c r="B43" s="85">
        <f>tblCities!B13</f>
        <v>0</v>
      </c>
      <c r="C43" s="85" t="str">
        <f>tblCities!C13</f>
        <v>Mexico City</v>
      </c>
      <c r="D43" s="85">
        <f>tblCities!H12</f>
        <v>1</v>
      </c>
      <c r="E43" s="85">
        <f>tblCities!I12</f>
        <v>0</v>
      </c>
      <c r="F43" s="85">
        <f>tblCities!J12</f>
        <v>0</v>
      </c>
      <c r="N43" s="85">
        <f t="shared" ref="N43:W58" si="12">IF(N$29=1,INDEX(aData,N$7,$A43),"n.a.")</f>
        <v>3</v>
      </c>
      <c r="O43" s="85">
        <f t="shared" si="12"/>
        <v>2</v>
      </c>
      <c r="P43" s="85">
        <f t="shared" si="12"/>
        <v>0</v>
      </c>
      <c r="Q43" s="85">
        <f t="shared" si="12"/>
        <v>1</v>
      </c>
      <c r="R43" s="85">
        <f t="shared" si="12"/>
        <v>75</v>
      </c>
      <c r="S43" s="85">
        <f t="shared" si="12"/>
        <v>1</v>
      </c>
      <c r="T43" s="85">
        <f t="shared" si="12"/>
        <v>6</v>
      </c>
      <c r="U43" s="85">
        <f t="shared" si="12"/>
        <v>2</v>
      </c>
      <c r="V43" s="85">
        <f t="shared" si="12"/>
        <v>0.5113</v>
      </c>
      <c r="W43" s="85">
        <f t="shared" si="12"/>
        <v>93.9</v>
      </c>
      <c r="X43" s="85">
        <f t="shared" ref="X43:AG58" si="13">IF(X$29=1,INDEX(aData,X$7,$A43),"n.a.")</f>
        <v>66.7</v>
      </c>
      <c r="Y43" s="85">
        <f t="shared" si="13"/>
        <v>1.1</v>
      </c>
      <c r="Z43" s="85">
        <f t="shared" si="13"/>
        <v>2.5</v>
      </c>
      <c r="AA43" s="85">
        <f t="shared" si="13"/>
        <v>93.6</v>
      </c>
      <c r="AB43" s="85">
        <f t="shared" si="13"/>
        <v>3</v>
      </c>
      <c r="AC43" s="85">
        <f t="shared" si="13"/>
        <v>25</v>
      </c>
      <c r="AD43" s="85">
        <f t="shared" si="13"/>
        <v>66</v>
      </c>
      <c r="AE43" s="85">
        <f t="shared" si="13"/>
        <v>76.9</v>
      </c>
      <c r="AF43" s="85">
        <f t="shared" si="13"/>
        <v>18</v>
      </c>
      <c r="AG43" s="85">
        <f t="shared" si="13"/>
        <v>68.91</v>
      </c>
      <c r="AH43" s="85">
        <f t="shared" ref="AH43:AW58" si="14">IF(AH$29=1,INDEX(aData,AH$7,$A43),"n.a.")</f>
        <v>5</v>
      </c>
      <c r="AI43" s="85">
        <f t="shared" si="14"/>
        <v>5</v>
      </c>
      <c r="AJ43" s="85">
        <f t="shared" si="14"/>
        <v>3</v>
      </c>
      <c r="AK43" s="85">
        <f t="shared" si="14"/>
        <v>3</v>
      </c>
      <c r="AL43" s="85">
        <f t="shared" si="14"/>
        <v>2</v>
      </c>
      <c r="AM43" s="85">
        <f t="shared" si="14"/>
        <v>4.4</v>
      </c>
      <c r="AN43" s="85">
        <f t="shared" si="14"/>
        <v>3269</v>
      </c>
      <c r="AO43" s="85">
        <f t="shared" si="14"/>
        <v>53.8</v>
      </c>
      <c r="AP43" s="85">
        <f t="shared" si="14"/>
        <v>14.4</v>
      </c>
      <c r="AQ43" s="85">
        <f t="shared" si="14"/>
        <v>1</v>
      </c>
      <c r="AR43" s="85">
        <f t="shared" ref="AR43:BE57" si="15">IF(AR$29=1,INDEX(aData,AR$7,$A43),"n.a.")</f>
        <v>1</v>
      </c>
      <c r="AS43" s="85">
        <f t="shared" si="15"/>
        <v>0</v>
      </c>
      <c r="AT43" s="85">
        <f t="shared" si="15"/>
        <v>1</v>
      </c>
      <c r="AU43" s="85">
        <f t="shared" si="15"/>
        <v>1</v>
      </c>
      <c r="AV43" s="85">
        <f t="shared" si="15"/>
        <v>3.9</v>
      </c>
      <c r="AW43" s="85">
        <f t="shared" si="15"/>
        <v>40</v>
      </c>
      <c r="AX43" s="85">
        <f t="shared" si="15"/>
        <v>5</v>
      </c>
      <c r="AY43" s="85">
        <f t="shared" si="15"/>
        <v>5</v>
      </c>
      <c r="AZ43" s="85">
        <f t="shared" si="15"/>
        <v>126.08</v>
      </c>
      <c r="BA43" s="85">
        <f t="shared" si="15"/>
        <v>31</v>
      </c>
      <c r="BB43" s="85">
        <f t="shared" si="15"/>
        <v>0.4</v>
      </c>
      <c r="BC43" s="85">
        <f t="shared" si="15"/>
        <v>0.6</v>
      </c>
      <c r="BD43" s="85">
        <f t="shared" si="15"/>
        <v>14993</v>
      </c>
      <c r="BE43" s="85">
        <f t="shared" si="15"/>
        <v>37.99</v>
      </c>
    </row>
    <row r="44" spans="1:57">
      <c r="A44" s="85">
        <f>tblCities!A14</f>
        <v>12</v>
      </c>
      <c r="B44" s="85">
        <f>tblCities!B14</f>
        <v>0</v>
      </c>
      <c r="C44" s="85" t="str">
        <f>tblCities!C14</f>
        <v>Lima</v>
      </c>
      <c r="D44" s="85">
        <f>tblCities!H13</f>
        <v>1</v>
      </c>
      <c r="E44" s="85">
        <f>tblCities!I13</f>
        <v>0</v>
      </c>
      <c r="F44" s="85">
        <f>tblCities!J13</f>
        <v>1</v>
      </c>
      <c r="N44" s="85">
        <f t="shared" si="12"/>
        <v>2</v>
      </c>
      <c r="O44" s="85">
        <f t="shared" si="12"/>
        <v>2</v>
      </c>
      <c r="P44" s="85">
        <f t="shared" si="12"/>
        <v>0</v>
      </c>
      <c r="Q44" s="85">
        <f t="shared" si="12"/>
        <v>1</v>
      </c>
      <c r="R44" s="85">
        <f t="shared" si="12"/>
        <v>75</v>
      </c>
      <c r="S44" s="85">
        <f t="shared" si="12"/>
        <v>1</v>
      </c>
      <c r="T44" s="85">
        <f t="shared" si="12"/>
        <v>0.11</v>
      </c>
      <c r="U44" s="85">
        <f t="shared" si="12"/>
        <v>3</v>
      </c>
      <c r="V44" s="85">
        <f t="shared" si="12"/>
        <v>0.072</v>
      </c>
      <c r="W44" s="85">
        <f t="shared" si="12"/>
        <v>61.5</v>
      </c>
      <c r="X44" s="85">
        <f t="shared" si="13"/>
        <v>66.7</v>
      </c>
      <c r="Y44" s="85">
        <f t="shared" si="13"/>
        <v>1.6</v>
      </c>
      <c r="Z44" s="85">
        <f t="shared" si="13"/>
        <v>1.1</v>
      </c>
      <c r="AA44" s="85">
        <f t="shared" si="13"/>
        <v>67.1</v>
      </c>
      <c r="AB44" s="85">
        <f t="shared" si="13"/>
        <v>2.5</v>
      </c>
      <c r="AC44" s="85">
        <f t="shared" si="13"/>
        <v>38</v>
      </c>
      <c r="AD44" s="85">
        <f t="shared" si="13"/>
        <v>59</v>
      </c>
      <c r="AE44" s="85">
        <f t="shared" si="13"/>
        <v>74.1</v>
      </c>
      <c r="AF44" s="85">
        <f t="shared" si="13"/>
        <v>10</v>
      </c>
      <c r="AG44" s="85">
        <f t="shared" si="13"/>
        <v>92.1</v>
      </c>
      <c r="AH44" s="85">
        <f t="shared" si="14"/>
        <v>4.25</v>
      </c>
      <c r="AI44" s="85">
        <f t="shared" si="14"/>
        <v>5</v>
      </c>
      <c r="AJ44" s="85">
        <f t="shared" si="14"/>
        <v>2</v>
      </c>
      <c r="AK44" s="85">
        <f t="shared" si="14"/>
        <v>1</v>
      </c>
      <c r="AL44" s="85">
        <f t="shared" si="14"/>
        <v>1</v>
      </c>
      <c r="AM44" s="85">
        <f t="shared" si="14"/>
        <v>27.7906976744186</v>
      </c>
      <c r="AN44" s="85">
        <f t="shared" si="14"/>
        <v>610</v>
      </c>
      <c r="AO44" s="85">
        <f t="shared" si="14"/>
        <v>4.9</v>
      </c>
      <c r="AP44" s="85">
        <f t="shared" si="14"/>
        <v>36.1</v>
      </c>
      <c r="AQ44" s="85">
        <f t="shared" si="14"/>
        <v>1</v>
      </c>
      <c r="AR44" s="85">
        <f t="shared" si="15"/>
        <v>1</v>
      </c>
      <c r="AS44" s="85">
        <f t="shared" si="15"/>
        <v>1</v>
      </c>
      <c r="AT44" s="85">
        <f t="shared" si="15"/>
        <v>1</v>
      </c>
      <c r="AU44" s="85">
        <f t="shared" si="15"/>
        <v>1</v>
      </c>
      <c r="AV44" s="85">
        <f t="shared" si="15"/>
        <v>6</v>
      </c>
      <c r="AW44" s="85">
        <f t="shared" si="15"/>
        <v>45</v>
      </c>
      <c r="AX44" s="85">
        <f t="shared" si="15"/>
        <v>3</v>
      </c>
      <c r="AY44" s="85">
        <f t="shared" si="15"/>
        <v>3</v>
      </c>
      <c r="AZ44" s="85">
        <f t="shared" si="15"/>
        <v>6.7</v>
      </c>
      <c r="BA44" s="85">
        <f t="shared" si="15"/>
        <v>35</v>
      </c>
      <c r="BB44" s="85">
        <f t="shared" si="15"/>
        <v>0.5</v>
      </c>
      <c r="BC44" s="85">
        <f t="shared" si="15"/>
        <v>0.1</v>
      </c>
      <c r="BD44" s="85">
        <f t="shared" si="15"/>
        <v>6751</v>
      </c>
      <c r="BE44" s="85">
        <f t="shared" si="15"/>
        <v>30.42</v>
      </c>
    </row>
    <row r="45" spans="1:57">
      <c r="A45" s="85">
        <f>tblCities!A15</f>
        <v>13</v>
      </c>
      <c r="B45" s="85">
        <f>tblCities!B15</f>
        <v>0</v>
      </c>
      <c r="C45" s="85" t="str">
        <f>tblCities!C15</f>
        <v>Santiago</v>
      </c>
      <c r="D45" s="85">
        <f>tblCities!H14</f>
        <v>1</v>
      </c>
      <c r="E45" s="85">
        <f>tblCities!I14</f>
        <v>0</v>
      </c>
      <c r="F45" s="85">
        <f>tblCities!J14</f>
        <v>1</v>
      </c>
      <c r="N45" s="85">
        <f t="shared" si="12"/>
        <v>2</v>
      </c>
      <c r="O45" s="85">
        <f t="shared" si="12"/>
        <v>2</v>
      </c>
      <c r="P45" s="85">
        <f t="shared" si="12"/>
        <v>0</v>
      </c>
      <c r="Q45" s="85">
        <f t="shared" si="12"/>
        <v>1</v>
      </c>
      <c r="R45" s="85">
        <f t="shared" si="12"/>
        <v>75</v>
      </c>
      <c r="S45" s="85">
        <f t="shared" si="12"/>
        <v>1</v>
      </c>
      <c r="T45" s="85">
        <f t="shared" si="12"/>
        <v>0.5</v>
      </c>
      <c r="U45" s="85">
        <f t="shared" si="12"/>
        <v>2</v>
      </c>
      <c r="V45" s="85">
        <f t="shared" si="12"/>
        <v>0.677</v>
      </c>
      <c r="W45" s="85">
        <f t="shared" si="12"/>
        <v>69.4</v>
      </c>
      <c r="X45" s="85">
        <f t="shared" si="13"/>
        <v>70.8</v>
      </c>
      <c r="Y45" s="85">
        <f t="shared" si="13"/>
        <v>2.1</v>
      </c>
      <c r="Z45" s="85">
        <f t="shared" si="13"/>
        <v>1.01</v>
      </c>
      <c r="AA45" s="85">
        <f t="shared" si="13"/>
        <v>94</v>
      </c>
      <c r="AB45" s="85">
        <f t="shared" si="13"/>
        <v>2.5</v>
      </c>
      <c r="AC45" s="85">
        <f t="shared" si="13"/>
        <v>26</v>
      </c>
      <c r="AD45" s="85">
        <f t="shared" si="13"/>
        <v>70.2</v>
      </c>
      <c r="AE45" s="85">
        <f t="shared" si="13"/>
        <v>78.44</v>
      </c>
      <c r="AF45" s="85">
        <f t="shared" si="13"/>
        <v>7.1</v>
      </c>
      <c r="AG45" s="85">
        <f t="shared" si="13"/>
        <v>1.77</v>
      </c>
      <c r="AH45" s="85">
        <f t="shared" si="14"/>
        <v>5.5</v>
      </c>
      <c r="AI45" s="85">
        <f t="shared" si="14"/>
        <v>0</v>
      </c>
      <c r="AJ45" s="85">
        <f t="shared" si="14"/>
        <v>2</v>
      </c>
      <c r="AK45" s="85">
        <f t="shared" si="14"/>
        <v>1</v>
      </c>
      <c r="AL45" s="85">
        <f t="shared" si="14"/>
        <v>1</v>
      </c>
      <c r="AM45" s="85">
        <f t="shared" si="14"/>
        <v>9.71428571428571</v>
      </c>
      <c r="AN45" s="85">
        <f t="shared" si="14"/>
        <v>365</v>
      </c>
      <c r="AO45" s="85">
        <f t="shared" si="14"/>
        <v>11.7</v>
      </c>
      <c r="AP45" s="85">
        <f t="shared" si="14"/>
        <v>9</v>
      </c>
      <c r="AQ45" s="85">
        <f t="shared" si="14"/>
        <v>0.5</v>
      </c>
      <c r="AR45" s="85">
        <f t="shared" si="15"/>
        <v>1</v>
      </c>
      <c r="AS45" s="85">
        <f t="shared" si="15"/>
        <v>0</v>
      </c>
      <c r="AT45" s="85">
        <f t="shared" si="15"/>
        <v>1</v>
      </c>
      <c r="AU45" s="85">
        <f t="shared" si="15"/>
        <v>0</v>
      </c>
      <c r="AV45" s="85">
        <f t="shared" si="15"/>
        <v>4.7</v>
      </c>
      <c r="AW45" s="85">
        <f t="shared" si="15"/>
        <v>20</v>
      </c>
      <c r="AX45" s="85">
        <f t="shared" si="15"/>
        <v>3</v>
      </c>
      <c r="AY45" s="85">
        <f t="shared" si="15"/>
        <v>3</v>
      </c>
      <c r="AZ45" s="85">
        <f t="shared" si="15"/>
        <v>0.4</v>
      </c>
      <c r="BA45" s="85">
        <f t="shared" si="15"/>
        <v>72</v>
      </c>
      <c r="BB45" s="85">
        <f t="shared" si="15"/>
        <v>2.4</v>
      </c>
      <c r="BC45" s="85">
        <f t="shared" si="15"/>
        <v>3.2</v>
      </c>
      <c r="BD45" s="85">
        <f t="shared" si="15"/>
        <v>1670</v>
      </c>
      <c r="BE45" s="85">
        <f t="shared" si="15"/>
        <v>52.54</v>
      </c>
    </row>
    <row r="46" spans="1:57">
      <c r="A46" s="85">
        <f>tblCities!A16</f>
        <v>14</v>
      </c>
      <c r="B46" s="85">
        <f>tblCities!B16</f>
        <v>0</v>
      </c>
      <c r="C46" s="85" t="str">
        <f>tblCities!C16</f>
        <v>New York</v>
      </c>
      <c r="D46" s="85">
        <f>tblCities!H15</f>
        <v>1</v>
      </c>
      <c r="E46" s="85">
        <f>tblCities!I15</f>
        <v>0</v>
      </c>
      <c r="F46" s="85">
        <f>tblCities!J15</f>
        <v>1</v>
      </c>
      <c r="N46" s="85">
        <f t="shared" si="12"/>
        <v>2</v>
      </c>
      <c r="O46" s="85">
        <f t="shared" si="12"/>
        <v>2</v>
      </c>
      <c r="P46" s="85">
        <f t="shared" si="12"/>
        <v>0</v>
      </c>
      <c r="Q46" s="85">
        <f t="shared" si="12"/>
        <v>2</v>
      </c>
      <c r="R46" s="85">
        <f t="shared" si="12"/>
        <v>100</v>
      </c>
      <c r="S46" s="85">
        <f t="shared" si="12"/>
        <v>2</v>
      </c>
      <c r="T46" s="85">
        <f t="shared" si="12"/>
        <v>4</v>
      </c>
      <c r="U46" s="85">
        <f t="shared" si="12"/>
        <v>3</v>
      </c>
      <c r="V46" s="85">
        <f t="shared" si="12"/>
        <v>0.83</v>
      </c>
      <c r="W46" s="85">
        <f t="shared" si="12"/>
        <v>100</v>
      </c>
      <c r="X46" s="85">
        <f t="shared" si="13"/>
        <v>91.7</v>
      </c>
      <c r="Y46" s="85">
        <f t="shared" si="13"/>
        <v>3.1</v>
      </c>
      <c r="Z46" s="85">
        <f t="shared" si="13"/>
        <v>3.48</v>
      </c>
      <c r="AA46" s="85">
        <f t="shared" si="13"/>
        <v>96.4</v>
      </c>
      <c r="AB46" s="85">
        <f t="shared" si="13"/>
        <v>1.5</v>
      </c>
      <c r="AC46" s="85">
        <f t="shared" si="13"/>
        <v>14</v>
      </c>
      <c r="AD46" s="85">
        <f t="shared" si="13"/>
        <v>88.8</v>
      </c>
      <c r="AE46" s="85">
        <f t="shared" si="13"/>
        <v>80.9</v>
      </c>
      <c r="AF46" s="85">
        <f t="shared" si="13"/>
        <v>4.7</v>
      </c>
      <c r="AG46" s="85">
        <f t="shared" si="13"/>
        <v>1.63</v>
      </c>
      <c r="AH46" s="85">
        <f t="shared" si="14"/>
        <v>7.5</v>
      </c>
      <c r="AI46" s="85">
        <f t="shared" si="14"/>
        <v>5</v>
      </c>
      <c r="AJ46" s="85">
        <f t="shared" si="14"/>
        <v>2</v>
      </c>
      <c r="AK46" s="85">
        <f t="shared" si="14"/>
        <v>1</v>
      </c>
      <c r="AL46" s="85">
        <f t="shared" si="14"/>
        <v>1</v>
      </c>
      <c r="AM46" s="85">
        <f t="shared" si="14"/>
        <v>2.61904761904762</v>
      </c>
      <c r="AN46" s="85">
        <f t="shared" si="14"/>
        <v>825</v>
      </c>
      <c r="AO46" s="85">
        <f t="shared" si="14"/>
        <v>1.6</v>
      </c>
      <c r="AP46" s="85">
        <f t="shared" si="14"/>
        <v>20</v>
      </c>
      <c r="AQ46" s="85">
        <f t="shared" si="14"/>
        <v>1</v>
      </c>
      <c r="AR46" s="85">
        <f t="shared" si="15"/>
        <v>1</v>
      </c>
      <c r="AS46" s="85">
        <f t="shared" si="15"/>
        <v>1</v>
      </c>
      <c r="AT46" s="85">
        <f t="shared" si="15"/>
        <v>1</v>
      </c>
      <c r="AU46" s="85">
        <f t="shared" si="15"/>
        <v>1</v>
      </c>
      <c r="AV46" s="85">
        <f t="shared" si="15"/>
        <v>4.6</v>
      </c>
      <c r="AW46" s="85">
        <f t="shared" si="15"/>
        <v>10</v>
      </c>
      <c r="AX46" s="85">
        <f t="shared" si="15"/>
        <v>3</v>
      </c>
      <c r="AY46" s="85">
        <f t="shared" si="15"/>
        <v>2</v>
      </c>
      <c r="AZ46" s="85">
        <f t="shared" si="15"/>
        <v>625.63</v>
      </c>
      <c r="BA46" s="85">
        <f t="shared" si="15"/>
        <v>71</v>
      </c>
      <c r="BB46" s="85">
        <f t="shared" si="15"/>
        <v>2.4</v>
      </c>
      <c r="BC46" s="85">
        <f t="shared" si="15"/>
        <v>0.8</v>
      </c>
      <c r="BD46" s="85">
        <f t="shared" si="15"/>
        <v>1378</v>
      </c>
      <c r="BE46" s="85">
        <f t="shared" si="15"/>
        <v>52.53</v>
      </c>
    </row>
    <row r="47" spans="1:57">
      <c r="A47" s="85">
        <f>tblCities!A17</f>
        <v>15</v>
      </c>
      <c r="B47" s="85">
        <f>tblCities!B17</f>
        <v>0</v>
      </c>
      <c r="C47" s="85" t="str">
        <f>tblCities!C17</f>
        <v>Washington DC</v>
      </c>
      <c r="D47" s="85">
        <f>tblCities!H16</f>
        <v>1</v>
      </c>
      <c r="E47" s="85">
        <f>tblCities!I16</f>
        <v>0</v>
      </c>
      <c r="F47" s="85">
        <f>tblCities!J16</f>
        <v>0</v>
      </c>
      <c r="N47" s="85">
        <f t="shared" si="12"/>
        <v>2</v>
      </c>
      <c r="O47" s="85">
        <f t="shared" si="12"/>
        <v>2</v>
      </c>
      <c r="P47" s="85">
        <f t="shared" si="12"/>
        <v>0</v>
      </c>
      <c r="Q47" s="85">
        <f t="shared" si="12"/>
        <v>1</v>
      </c>
      <c r="R47" s="85">
        <f t="shared" si="12"/>
        <v>100</v>
      </c>
      <c r="S47" s="85">
        <f t="shared" si="12"/>
        <v>1</v>
      </c>
      <c r="T47" s="85">
        <f t="shared" si="12"/>
        <v>4</v>
      </c>
      <c r="U47" s="85">
        <f t="shared" si="12"/>
        <v>3</v>
      </c>
      <c r="V47" s="85">
        <f t="shared" si="12"/>
        <v>0.86</v>
      </c>
      <c r="W47" s="85">
        <f t="shared" si="12"/>
        <v>100</v>
      </c>
      <c r="X47" s="85">
        <f t="shared" si="13"/>
        <v>91.7</v>
      </c>
      <c r="Y47" s="85">
        <f t="shared" si="13"/>
        <v>5.9</v>
      </c>
      <c r="Z47" s="85">
        <f t="shared" si="13"/>
        <v>7.64</v>
      </c>
      <c r="AA47" s="85">
        <f t="shared" si="13"/>
        <v>96.4</v>
      </c>
      <c r="AB47" s="85">
        <f t="shared" si="13"/>
        <v>1.5</v>
      </c>
      <c r="AC47" s="85">
        <f t="shared" si="13"/>
        <v>12</v>
      </c>
      <c r="AD47" s="85">
        <f t="shared" si="13"/>
        <v>67.3</v>
      </c>
      <c r="AE47" s="85">
        <f t="shared" si="13"/>
        <v>75.61</v>
      </c>
      <c r="AF47" s="85">
        <f t="shared" si="13"/>
        <v>5.1</v>
      </c>
      <c r="AG47" s="85">
        <f t="shared" si="13"/>
        <v>198.41</v>
      </c>
      <c r="AH47" s="85">
        <f t="shared" si="14"/>
        <v>7.5</v>
      </c>
      <c r="AI47" s="85">
        <f t="shared" si="14"/>
        <v>5</v>
      </c>
      <c r="AJ47" s="85">
        <f t="shared" si="14"/>
        <v>2</v>
      </c>
      <c r="AK47" s="85">
        <f t="shared" si="14"/>
        <v>1</v>
      </c>
      <c r="AL47" s="85">
        <f t="shared" si="14"/>
        <v>1</v>
      </c>
      <c r="AM47" s="85">
        <f t="shared" si="14"/>
        <v>0.579710144927536</v>
      </c>
      <c r="AN47" s="85">
        <f t="shared" si="14"/>
        <v>2914</v>
      </c>
      <c r="AO47" s="85">
        <f t="shared" si="14"/>
        <v>1.3</v>
      </c>
      <c r="AP47" s="85">
        <f t="shared" si="14"/>
        <v>20</v>
      </c>
      <c r="AQ47" s="85">
        <f t="shared" si="14"/>
        <v>1</v>
      </c>
      <c r="AR47" s="85">
        <f t="shared" si="15"/>
        <v>1</v>
      </c>
      <c r="AS47" s="85">
        <f t="shared" si="15"/>
        <v>1</v>
      </c>
      <c r="AT47" s="85">
        <f t="shared" si="15"/>
        <v>1</v>
      </c>
      <c r="AU47" s="85">
        <f t="shared" si="15"/>
        <v>1</v>
      </c>
      <c r="AV47" s="85">
        <f t="shared" si="15"/>
        <v>2</v>
      </c>
      <c r="AW47" s="85">
        <f t="shared" si="15"/>
        <v>10</v>
      </c>
      <c r="AX47" s="85">
        <f t="shared" si="15"/>
        <v>2</v>
      </c>
      <c r="AY47" s="85">
        <f t="shared" si="15"/>
        <v>2</v>
      </c>
      <c r="AZ47" s="85">
        <f t="shared" si="15"/>
        <v>625.63</v>
      </c>
      <c r="BA47" s="85">
        <f t="shared" si="15"/>
        <v>71</v>
      </c>
      <c r="BB47" s="85">
        <f t="shared" si="15"/>
        <v>2.4</v>
      </c>
      <c r="BC47" s="85">
        <f t="shared" si="15"/>
        <v>0.3</v>
      </c>
      <c r="BD47" s="85">
        <f t="shared" si="15"/>
        <v>393</v>
      </c>
      <c r="BE47" s="85">
        <f t="shared" si="15"/>
        <v>41.1</v>
      </c>
    </row>
    <row r="48" spans="1:57">
      <c r="A48" s="85">
        <f>tblCities!A18</f>
        <v>16</v>
      </c>
      <c r="B48" s="85">
        <f>tblCities!B18</f>
        <v>0</v>
      </c>
      <c r="C48" s="85" t="str">
        <f>tblCities!C18</f>
        <v>Sydney</v>
      </c>
      <c r="D48" s="85">
        <f>tblCities!H17</f>
        <v>1</v>
      </c>
      <c r="E48" s="85">
        <f>tblCities!I17</f>
        <v>0</v>
      </c>
      <c r="F48" s="85">
        <f>tblCities!J17</f>
        <v>0</v>
      </c>
      <c r="N48" s="85">
        <f t="shared" si="12"/>
        <v>3</v>
      </c>
      <c r="O48" s="85">
        <f t="shared" si="12"/>
        <v>2</v>
      </c>
      <c r="P48" s="85">
        <f t="shared" si="12"/>
        <v>0</v>
      </c>
      <c r="Q48" s="85">
        <f t="shared" si="12"/>
        <v>1</v>
      </c>
      <c r="R48" s="85">
        <f t="shared" si="12"/>
        <v>100</v>
      </c>
      <c r="S48" s="85">
        <f t="shared" si="12"/>
        <v>2</v>
      </c>
      <c r="T48" s="85">
        <f t="shared" si="12"/>
        <v>5</v>
      </c>
      <c r="U48" s="85">
        <f t="shared" si="12"/>
        <v>3</v>
      </c>
      <c r="V48" s="85">
        <f t="shared" si="12"/>
        <v>0.763</v>
      </c>
      <c r="W48" s="85">
        <f t="shared" si="12"/>
        <v>67</v>
      </c>
      <c r="X48" s="85">
        <f t="shared" si="13"/>
        <v>100</v>
      </c>
      <c r="Y48" s="85">
        <f t="shared" si="13"/>
        <v>2.99</v>
      </c>
      <c r="Z48" s="85">
        <f t="shared" si="13"/>
        <v>3.09</v>
      </c>
      <c r="AA48" s="85">
        <f t="shared" si="13"/>
        <v>100</v>
      </c>
      <c r="AB48" s="85">
        <f t="shared" si="13"/>
        <v>1</v>
      </c>
      <c r="AC48" s="85">
        <f t="shared" si="13"/>
        <v>5</v>
      </c>
      <c r="AD48" s="85">
        <f t="shared" si="13"/>
        <v>82</v>
      </c>
      <c r="AE48" s="85">
        <f t="shared" si="13"/>
        <v>81.4</v>
      </c>
      <c r="AF48" s="85">
        <f t="shared" si="13"/>
        <v>3.2</v>
      </c>
      <c r="AG48" s="85">
        <f t="shared" si="13"/>
        <v>174</v>
      </c>
      <c r="AH48" s="85">
        <f t="shared" si="14"/>
        <v>7.75</v>
      </c>
      <c r="AI48" s="85">
        <f t="shared" si="14"/>
        <v>5</v>
      </c>
      <c r="AJ48" s="85">
        <f t="shared" si="14"/>
        <v>1</v>
      </c>
      <c r="AK48" s="85">
        <f t="shared" si="14"/>
        <v>1</v>
      </c>
      <c r="AL48" s="85">
        <f t="shared" si="14"/>
        <v>1</v>
      </c>
      <c r="AM48" s="85">
        <f t="shared" si="14"/>
        <v>37.0588235294118</v>
      </c>
      <c r="AN48" s="85">
        <f t="shared" si="14"/>
        <v>565</v>
      </c>
      <c r="AO48" s="85">
        <f t="shared" si="14"/>
        <v>0.7</v>
      </c>
      <c r="AP48" s="85">
        <f t="shared" si="14"/>
        <v>12.6</v>
      </c>
      <c r="AQ48" s="85">
        <f t="shared" si="14"/>
        <v>1</v>
      </c>
      <c r="AR48" s="85">
        <f t="shared" si="15"/>
        <v>1</v>
      </c>
      <c r="AS48" s="85">
        <f t="shared" si="15"/>
        <v>1</v>
      </c>
      <c r="AT48" s="85">
        <f t="shared" si="15"/>
        <v>1</v>
      </c>
      <c r="AU48" s="85">
        <f t="shared" si="15"/>
        <v>1</v>
      </c>
      <c r="AV48" s="85">
        <f t="shared" si="15"/>
        <v>2</v>
      </c>
      <c r="AW48" s="85">
        <f t="shared" si="15"/>
        <v>10</v>
      </c>
      <c r="AX48" s="85">
        <f t="shared" si="15"/>
        <v>2</v>
      </c>
      <c r="AY48" s="85">
        <f t="shared" si="15"/>
        <v>2</v>
      </c>
      <c r="AZ48" s="85">
        <f t="shared" si="15"/>
        <v>14.62</v>
      </c>
      <c r="BA48" s="85">
        <f t="shared" si="15"/>
        <v>87</v>
      </c>
      <c r="BB48" s="85">
        <f t="shared" si="15"/>
        <v>1.9</v>
      </c>
      <c r="BC48" s="85">
        <f t="shared" si="15"/>
        <v>0</v>
      </c>
      <c r="BD48" s="85">
        <f t="shared" si="15"/>
        <v>6378</v>
      </c>
      <c r="BE48" s="85">
        <f t="shared" si="15"/>
        <v>58.72</v>
      </c>
    </row>
    <row r="49" spans="1:57">
      <c r="A49" s="85">
        <f>tblCities!A19</f>
        <v>17</v>
      </c>
      <c r="B49" s="85">
        <f>tblCities!B19</f>
        <v>0</v>
      </c>
      <c r="C49" s="85" t="str">
        <f>tblCities!C19</f>
        <v>Melbourne</v>
      </c>
      <c r="D49" s="85">
        <f>tblCities!H18</f>
        <v>1</v>
      </c>
      <c r="E49" s="85">
        <f>tblCities!I18</f>
        <v>0</v>
      </c>
      <c r="F49" s="85">
        <f>tblCities!J18</f>
        <v>0</v>
      </c>
      <c r="N49" s="85">
        <f t="shared" si="12"/>
        <v>3</v>
      </c>
      <c r="O49" s="85">
        <f t="shared" si="12"/>
        <v>2</v>
      </c>
      <c r="P49" s="85">
        <f t="shared" si="12"/>
        <v>0</v>
      </c>
      <c r="Q49" s="85">
        <f t="shared" si="12"/>
        <v>1</v>
      </c>
      <c r="R49" s="85">
        <f t="shared" si="12"/>
        <v>100</v>
      </c>
      <c r="S49" s="85">
        <f t="shared" si="12"/>
        <v>1</v>
      </c>
      <c r="T49" s="85">
        <f t="shared" si="12"/>
        <v>5</v>
      </c>
      <c r="U49" s="85">
        <f t="shared" si="12"/>
        <v>3</v>
      </c>
      <c r="V49" s="85">
        <f t="shared" si="12"/>
        <v>0.76</v>
      </c>
      <c r="W49" s="85">
        <f t="shared" si="12"/>
        <v>78</v>
      </c>
      <c r="X49" s="85">
        <f t="shared" si="13"/>
        <v>100</v>
      </c>
      <c r="Y49" s="85">
        <f t="shared" si="13"/>
        <v>2.32</v>
      </c>
      <c r="Z49" s="85">
        <f t="shared" si="13"/>
        <v>3.33</v>
      </c>
      <c r="AA49" s="85">
        <f t="shared" si="13"/>
        <v>100</v>
      </c>
      <c r="AB49" s="85">
        <f t="shared" si="13"/>
        <v>1</v>
      </c>
      <c r="AC49" s="85">
        <f t="shared" si="13"/>
        <v>5</v>
      </c>
      <c r="AD49" s="85">
        <f t="shared" si="13"/>
        <v>67.6</v>
      </c>
      <c r="AE49" s="85">
        <f t="shared" si="13"/>
        <v>85.9</v>
      </c>
      <c r="AF49" s="85">
        <f t="shared" si="13"/>
        <v>3.3</v>
      </c>
      <c r="AG49" s="85">
        <f t="shared" si="13"/>
        <v>189</v>
      </c>
      <c r="AH49" s="85">
        <f t="shared" si="14"/>
        <v>7.75</v>
      </c>
      <c r="AI49" s="85">
        <f t="shared" si="14"/>
        <v>5</v>
      </c>
      <c r="AJ49" s="85">
        <f t="shared" si="14"/>
        <v>1</v>
      </c>
      <c r="AK49" s="85">
        <f t="shared" si="14"/>
        <v>1</v>
      </c>
      <c r="AL49" s="85">
        <f t="shared" si="14"/>
        <v>1</v>
      </c>
      <c r="AM49" s="85">
        <f t="shared" si="14"/>
        <v>37.0588235294118</v>
      </c>
      <c r="AN49" s="85">
        <f t="shared" si="14"/>
        <v>341</v>
      </c>
      <c r="AO49" s="85">
        <f t="shared" si="14"/>
        <v>0.6</v>
      </c>
      <c r="AP49" s="85">
        <f t="shared" si="14"/>
        <v>12.6</v>
      </c>
      <c r="AQ49" s="85">
        <f t="shared" si="14"/>
        <v>1</v>
      </c>
      <c r="AR49" s="85">
        <f t="shared" si="15"/>
        <v>1</v>
      </c>
      <c r="AS49" s="85">
        <f t="shared" si="15"/>
        <v>1</v>
      </c>
      <c r="AT49" s="85">
        <f t="shared" si="15"/>
        <v>1</v>
      </c>
      <c r="AU49" s="85">
        <f t="shared" si="15"/>
        <v>1</v>
      </c>
      <c r="AV49" s="85">
        <f t="shared" si="15"/>
        <v>2</v>
      </c>
      <c r="AW49" s="85">
        <f t="shared" si="15"/>
        <v>10</v>
      </c>
      <c r="AX49" s="85">
        <f t="shared" si="15"/>
        <v>2</v>
      </c>
      <c r="AY49" s="85">
        <f t="shared" si="15"/>
        <v>1</v>
      </c>
      <c r="AZ49" s="85">
        <f t="shared" si="15"/>
        <v>14.62</v>
      </c>
      <c r="BA49" s="85">
        <f t="shared" si="15"/>
        <v>87</v>
      </c>
      <c r="BB49" s="85">
        <f t="shared" si="15"/>
        <v>1.9</v>
      </c>
      <c r="BC49" s="85">
        <f t="shared" si="15"/>
        <v>0</v>
      </c>
      <c r="BD49" s="85">
        <f t="shared" si="15"/>
        <v>2144</v>
      </c>
      <c r="BE49" s="85">
        <f t="shared" si="15"/>
        <v>57.47</v>
      </c>
    </row>
    <row r="50" spans="1:57">
      <c r="A50" s="85">
        <f>tblCities!A20</f>
        <v>18</v>
      </c>
      <c r="B50" s="85">
        <f>tblCities!B20</f>
        <v>0</v>
      </c>
      <c r="C50" s="85" t="str">
        <f>tblCities!C20</f>
        <v>Hong Kong</v>
      </c>
      <c r="D50" s="85">
        <f>tblCities!H19</f>
        <v>1</v>
      </c>
      <c r="E50" s="85">
        <f>tblCities!I19</f>
        <v>0</v>
      </c>
      <c r="F50" s="85">
        <f>tblCities!J19</f>
        <v>0</v>
      </c>
      <c r="N50" s="85">
        <f t="shared" si="12"/>
        <v>3</v>
      </c>
      <c r="O50" s="85">
        <f t="shared" si="12"/>
        <v>2</v>
      </c>
      <c r="P50" s="85">
        <f t="shared" si="12"/>
        <v>0</v>
      </c>
      <c r="Q50" s="85">
        <f t="shared" si="12"/>
        <v>2</v>
      </c>
      <c r="R50" s="85">
        <f t="shared" si="12"/>
        <v>100</v>
      </c>
      <c r="S50" s="85">
        <f t="shared" si="12"/>
        <v>2</v>
      </c>
      <c r="T50" s="85">
        <f t="shared" si="12"/>
        <v>0.5</v>
      </c>
      <c r="U50" s="85">
        <f t="shared" si="12"/>
        <v>3</v>
      </c>
      <c r="V50" s="85">
        <f t="shared" si="12"/>
        <v>0.779</v>
      </c>
      <c r="W50" s="85">
        <f t="shared" si="12"/>
        <v>98.3</v>
      </c>
      <c r="X50" s="85">
        <f t="shared" si="13"/>
        <v>87.5</v>
      </c>
      <c r="Y50" s="85">
        <f t="shared" si="13"/>
        <v>4.99</v>
      </c>
      <c r="Z50" s="85">
        <f t="shared" si="13"/>
        <v>1.84</v>
      </c>
      <c r="AA50" s="85">
        <f t="shared" si="13"/>
        <v>90.9</v>
      </c>
      <c r="AB50" s="85">
        <f t="shared" si="13"/>
        <v>1.5</v>
      </c>
      <c r="AC50" s="85">
        <f t="shared" si="13"/>
        <v>21</v>
      </c>
      <c r="AD50" s="85">
        <f t="shared" si="13"/>
        <v>64.5</v>
      </c>
      <c r="AE50" s="85">
        <f t="shared" si="13"/>
        <v>83.96</v>
      </c>
      <c r="AF50" s="85">
        <f t="shared" si="13"/>
        <v>1.3</v>
      </c>
      <c r="AG50" s="85">
        <f t="shared" si="13"/>
        <v>109.7</v>
      </c>
      <c r="AH50" s="85">
        <f t="shared" si="14"/>
        <v>0</v>
      </c>
      <c r="AI50" s="85">
        <f t="shared" si="14"/>
        <v>5</v>
      </c>
      <c r="AJ50" s="85">
        <f t="shared" si="14"/>
        <v>1</v>
      </c>
      <c r="AK50" s="85">
        <f t="shared" si="14"/>
        <v>1</v>
      </c>
      <c r="AL50" s="85">
        <f t="shared" si="14"/>
        <v>1</v>
      </c>
      <c r="AM50" s="85">
        <f t="shared" si="14"/>
        <v>0</v>
      </c>
      <c r="AN50" s="85">
        <f t="shared" si="14"/>
        <v>225</v>
      </c>
      <c r="AO50" s="85">
        <f t="shared" si="14"/>
        <v>51</v>
      </c>
      <c r="AP50" s="85">
        <f t="shared" si="14"/>
        <v>18</v>
      </c>
      <c r="AQ50" s="85">
        <f t="shared" si="14"/>
        <v>1</v>
      </c>
      <c r="AR50" s="85">
        <f t="shared" si="15"/>
        <v>1</v>
      </c>
      <c r="AS50" s="85">
        <f t="shared" si="15"/>
        <v>1</v>
      </c>
      <c r="AT50" s="85">
        <f t="shared" si="15"/>
        <v>1</v>
      </c>
      <c r="AU50" s="85">
        <f t="shared" si="15"/>
        <v>1</v>
      </c>
      <c r="AV50" s="85">
        <f t="shared" si="15"/>
        <v>1.5</v>
      </c>
      <c r="AW50" s="85">
        <f t="shared" si="15"/>
        <v>35</v>
      </c>
      <c r="AX50" s="85">
        <f t="shared" si="15"/>
        <v>2</v>
      </c>
      <c r="AY50" s="85">
        <f t="shared" si="15"/>
        <v>1</v>
      </c>
      <c r="AZ50" s="85">
        <f t="shared" si="15"/>
        <v>261</v>
      </c>
      <c r="BA50" s="85">
        <f t="shared" si="15"/>
        <v>84</v>
      </c>
      <c r="BB50" s="85">
        <f t="shared" si="15"/>
        <v>0.3</v>
      </c>
      <c r="BC50" s="85">
        <f t="shared" si="15"/>
        <v>0.1</v>
      </c>
      <c r="BD50" s="85">
        <f t="shared" si="15"/>
        <v>105</v>
      </c>
      <c r="BE50" s="85">
        <f t="shared" si="15"/>
        <v>83.88</v>
      </c>
    </row>
    <row r="51" spans="1:57">
      <c r="A51" s="85">
        <f>tblCities!A21</f>
        <v>19</v>
      </c>
      <c r="B51" s="85">
        <f>tblCities!B21</f>
        <v>0</v>
      </c>
      <c r="C51" s="85" t="str">
        <f>tblCities!C21</f>
        <v>Beijing </v>
      </c>
      <c r="D51" s="85">
        <f>tblCities!H20</f>
        <v>1</v>
      </c>
      <c r="E51" s="85">
        <f>tblCities!I20</f>
        <v>0</v>
      </c>
      <c r="F51" s="85">
        <f>tblCities!J20</f>
        <v>1</v>
      </c>
      <c r="N51" s="85">
        <f t="shared" si="12"/>
        <v>1</v>
      </c>
      <c r="O51" s="85">
        <f t="shared" si="12"/>
        <v>1</v>
      </c>
      <c r="P51" s="85">
        <f t="shared" si="12"/>
        <v>0</v>
      </c>
      <c r="Q51" s="85">
        <f t="shared" si="12"/>
        <v>1</v>
      </c>
      <c r="R51" s="85">
        <f t="shared" si="12"/>
        <v>75</v>
      </c>
      <c r="S51" s="85">
        <f t="shared" si="12"/>
        <v>1</v>
      </c>
      <c r="T51" s="85">
        <f t="shared" si="12"/>
        <v>14</v>
      </c>
      <c r="U51" s="85">
        <f t="shared" si="12"/>
        <v>3</v>
      </c>
      <c r="V51" s="85">
        <f t="shared" si="12"/>
        <v>0.722</v>
      </c>
      <c r="W51" s="85">
        <f t="shared" si="12"/>
        <v>79.4</v>
      </c>
      <c r="X51" s="85">
        <f t="shared" si="13"/>
        <v>66.7</v>
      </c>
      <c r="Y51" s="85">
        <f t="shared" si="13"/>
        <v>4.84</v>
      </c>
      <c r="Z51" s="85">
        <f t="shared" si="13"/>
        <v>3.59</v>
      </c>
      <c r="AA51" s="85">
        <f t="shared" si="13"/>
        <v>90.9</v>
      </c>
      <c r="AB51" s="85">
        <f t="shared" si="13"/>
        <v>2.5</v>
      </c>
      <c r="AC51" s="85">
        <f t="shared" si="13"/>
        <v>56</v>
      </c>
      <c r="AD51" s="85">
        <f t="shared" si="13"/>
        <v>72.4</v>
      </c>
      <c r="AE51" s="85">
        <f t="shared" si="13"/>
        <v>81.35</v>
      </c>
      <c r="AF51" s="85">
        <f t="shared" si="13"/>
        <v>2.84</v>
      </c>
      <c r="AG51" s="85">
        <f t="shared" si="13"/>
        <v>122.19</v>
      </c>
      <c r="AH51" s="85">
        <f t="shared" si="14"/>
        <v>4.25</v>
      </c>
      <c r="AI51" s="85">
        <f t="shared" si="14"/>
        <v>5</v>
      </c>
      <c r="AJ51" s="85">
        <f t="shared" si="14"/>
        <v>2</v>
      </c>
      <c r="AK51" s="85">
        <f t="shared" si="14"/>
        <v>1</v>
      </c>
      <c r="AL51" s="85">
        <f t="shared" si="14"/>
        <v>3</v>
      </c>
      <c r="AM51" s="85">
        <f t="shared" si="14"/>
        <v>3.67441860465116</v>
      </c>
      <c r="AN51" s="85">
        <f t="shared" si="14"/>
        <v>16.29</v>
      </c>
      <c r="AO51" s="85">
        <f t="shared" si="14"/>
        <v>1.2</v>
      </c>
      <c r="AP51" s="85">
        <f t="shared" si="14"/>
        <v>29.1</v>
      </c>
      <c r="AQ51" s="85">
        <f t="shared" si="14"/>
        <v>1</v>
      </c>
      <c r="AR51" s="85">
        <f t="shared" si="15"/>
        <v>1</v>
      </c>
      <c r="AS51" s="85">
        <f t="shared" si="15"/>
        <v>0</v>
      </c>
      <c r="AT51" s="85">
        <f t="shared" si="15"/>
        <v>0</v>
      </c>
      <c r="AU51" s="85">
        <f t="shared" si="15"/>
        <v>0</v>
      </c>
      <c r="AV51" s="85">
        <f t="shared" si="15"/>
        <v>0.5</v>
      </c>
      <c r="AW51" s="85">
        <f t="shared" si="15"/>
        <v>55</v>
      </c>
      <c r="AX51" s="85">
        <f t="shared" si="15"/>
        <v>3</v>
      </c>
      <c r="AY51" s="85">
        <f t="shared" si="15"/>
        <v>2</v>
      </c>
      <c r="AZ51" s="85">
        <f t="shared" si="15"/>
        <v>261</v>
      </c>
      <c r="BA51" s="85">
        <f t="shared" si="15"/>
        <v>35</v>
      </c>
      <c r="BB51" s="85">
        <f t="shared" si="15"/>
        <v>0.25</v>
      </c>
      <c r="BC51" s="85">
        <f t="shared" si="15"/>
        <v>0.3</v>
      </c>
      <c r="BD51" s="85">
        <f t="shared" si="15"/>
        <v>31883</v>
      </c>
      <c r="BE51" s="85">
        <f t="shared" si="15"/>
        <v>58.3</v>
      </c>
    </row>
    <row r="52" spans="1:57">
      <c r="A52" s="85">
        <f>tblCities!A22</f>
        <v>20</v>
      </c>
      <c r="B52" s="85">
        <f>tblCities!B22</f>
        <v>0</v>
      </c>
      <c r="C52" s="85" t="str">
        <f>tblCities!C22</f>
        <v>Shanghai</v>
      </c>
      <c r="D52" s="85">
        <f>tblCities!H21</f>
        <v>1</v>
      </c>
      <c r="E52" s="85">
        <f>tblCities!I21</f>
        <v>0</v>
      </c>
      <c r="F52" s="85">
        <f>tblCities!J21</f>
        <v>1</v>
      </c>
      <c r="N52" s="85">
        <f t="shared" si="12"/>
        <v>1</v>
      </c>
      <c r="O52" s="85">
        <f t="shared" si="12"/>
        <v>1</v>
      </c>
      <c r="P52" s="85">
        <f t="shared" si="12"/>
        <v>0</v>
      </c>
      <c r="Q52" s="85">
        <f t="shared" si="12"/>
        <v>1</v>
      </c>
      <c r="R52" s="85">
        <f t="shared" si="12"/>
        <v>75</v>
      </c>
      <c r="S52" s="85">
        <f t="shared" si="12"/>
        <v>1</v>
      </c>
      <c r="T52" s="85">
        <f t="shared" si="12"/>
        <v>14</v>
      </c>
      <c r="U52" s="85">
        <f t="shared" si="12"/>
        <v>3</v>
      </c>
      <c r="V52" s="85">
        <f t="shared" si="12"/>
        <v>0.684</v>
      </c>
      <c r="W52" s="85">
        <f t="shared" si="12"/>
        <v>85</v>
      </c>
      <c r="X52" s="85">
        <f t="shared" si="13"/>
        <v>62.5</v>
      </c>
      <c r="Y52" s="85">
        <f t="shared" si="13"/>
        <v>4.61</v>
      </c>
      <c r="Z52" s="85">
        <f t="shared" si="13"/>
        <v>2.34</v>
      </c>
      <c r="AA52" s="85">
        <f t="shared" si="13"/>
        <v>90.9</v>
      </c>
      <c r="AB52" s="85">
        <f t="shared" si="13"/>
        <v>2.5</v>
      </c>
      <c r="AC52" s="85">
        <f t="shared" si="13"/>
        <v>36</v>
      </c>
      <c r="AD52" s="85">
        <f t="shared" si="13"/>
        <v>63</v>
      </c>
      <c r="AE52" s="85">
        <f t="shared" si="13"/>
        <v>80.26</v>
      </c>
      <c r="AF52" s="85">
        <f t="shared" si="13"/>
        <v>5.7</v>
      </c>
      <c r="AG52" s="85">
        <f t="shared" si="13"/>
        <v>133</v>
      </c>
      <c r="AH52" s="85">
        <f t="shared" si="14"/>
        <v>4.25</v>
      </c>
      <c r="AI52" s="85">
        <f t="shared" si="14"/>
        <v>5</v>
      </c>
      <c r="AJ52" s="85">
        <f t="shared" si="14"/>
        <v>2</v>
      </c>
      <c r="AK52" s="85">
        <f t="shared" si="14"/>
        <v>1</v>
      </c>
      <c r="AL52" s="85">
        <f t="shared" si="14"/>
        <v>3</v>
      </c>
      <c r="AM52" s="85">
        <f t="shared" si="14"/>
        <v>0.165631469979296</v>
      </c>
      <c r="AN52" s="85">
        <f t="shared" si="14"/>
        <v>9.52</v>
      </c>
      <c r="AO52" s="85">
        <f t="shared" si="14"/>
        <v>1</v>
      </c>
      <c r="AP52" s="85">
        <f t="shared" si="14"/>
        <v>29.1</v>
      </c>
      <c r="AQ52" s="85">
        <f t="shared" si="14"/>
        <v>0.5</v>
      </c>
      <c r="AR52" s="85">
        <f t="shared" si="15"/>
        <v>1</v>
      </c>
      <c r="AS52" s="85">
        <f t="shared" si="15"/>
        <v>0</v>
      </c>
      <c r="AT52" s="85">
        <f t="shared" si="15"/>
        <v>1</v>
      </c>
      <c r="AU52" s="85">
        <f t="shared" si="15"/>
        <v>1</v>
      </c>
      <c r="AV52" s="85">
        <f t="shared" si="15"/>
        <v>0.5</v>
      </c>
      <c r="AW52" s="85">
        <f t="shared" si="15"/>
        <v>55</v>
      </c>
      <c r="AX52" s="85">
        <f t="shared" si="15"/>
        <v>3</v>
      </c>
      <c r="AY52" s="85">
        <f t="shared" si="15"/>
        <v>2</v>
      </c>
      <c r="AZ52" s="85">
        <f t="shared" si="15"/>
        <v>261</v>
      </c>
      <c r="BA52" s="85">
        <f t="shared" si="15"/>
        <v>35</v>
      </c>
      <c r="BB52" s="85">
        <f t="shared" si="15"/>
        <v>0.25</v>
      </c>
      <c r="BC52" s="85">
        <f t="shared" si="15"/>
        <v>0</v>
      </c>
      <c r="BD52" s="85">
        <f t="shared" si="15"/>
        <v>31883</v>
      </c>
      <c r="BE52" s="85">
        <f t="shared" si="15"/>
        <v>77.75</v>
      </c>
    </row>
    <row r="53" spans="1:57">
      <c r="A53" s="85">
        <f>tblCities!A23</f>
        <v>21</v>
      </c>
      <c r="B53" s="85">
        <f>tblCities!B23</f>
        <v>0</v>
      </c>
      <c r="C53" s="85" t="str">
        <f>tblCities!C23</f>
        <v>Shenzhen</v>
      </c>
      <c r="D53" s="85">
        <f>tblCities!H22</f>
        <v>1</v>
      </c>
      <c r="E53" s="85">
        <f>tblCities!I22</f>
        <v>0</v>
      </c>
      <c r="F53" s="85">
        <f>tblCities!J22</f>
        <v>1</v>
      </c>
      <c r="N53" s="85">
        <f t="shared" si="12"/>
        <v>1</v>
      </c>
      <c r="O53" s="85">
        <f t="shared" si="12"/>
        <v>1</v>
      </c>
      <c r="P53" s="85">
        <f t="shared" si="12"/>
        <v>0</v>
      </c>
      <c r="Q53" s="85">
        <f t="shared" si="12"/>
        <v>1</v>
      </c>
      <c r="R53" s="85">
        <f t="shared" si="12"/>
        <v>75</v>
      </c>
      <c r="S53" s="85">
        <f t="shared" si="12"/>
        <v>2</v>
      </c>
      <c r="T53" s="85">
        <f t="shared" si="12"/>
        <v>14</v>
      </c>
      <c r="U53" s="85">
        <f t="shared" si="12"/>
        <v>3</v>
      </c>
      <c r="V53" s="85">
        <f t="shared" si="12"/>
        <v>0.768</v>
      </c>
      <c r="W53" s="85">
        <f t="shared" si="12"/>
        <v>98.3</v>
      </c>
      <c r="X53" s="85">
        <f t="shared" si="13"/>
        <v>62.5</v>
      </c>
      <c r="Y53" s="85">
        <f t="shared" si="13"/>
        <v>2.48</v>
      </c>
      <c r="Z53" s="85">
        <f t="shared" si="13"/>
        <v>2.27</v>
      </c>
      <c r="AA53" s="85">
        <f t="shared" si="13"/>
        <v>90.9</v>
      </c>
      <c r="AB53" s="85">
        <f t="shared" si="13"/>
        <v>2.5</v>
      </c>
      <c r="AC53" s="85">
        <f t="shared" si="13"/>
        <v>26</v>
      </c>
      <c r="AD53" s="85">
        <f t="shared" si="13"/>
        <v>64.5</v>
      </c>
      <c r="AE53" s="85">
        <f t="shared" si="13"/>
        <v>75.3</v>
      </c>
      <c r="AF53" s="85">
        <f t="shared" si="13"/>
        <v>12</v>
      </c>
      <c r="AG53" s="85">
        <f t="shared" si="13"/>
        <v>122.19</v>
      </c>
      <c r="AH53" s="85">
        <f t="shared" si="14"/>
        <v>4.25</v>
      </c>
      <c r="AI53" s="85">
        <f t="shared" si="14"/>
        <v>5</v>
      </c>
      <c r="AJ53" s="85">
        <f t="shared" si="14"/>
        <v>2</v>
      </c>
      <c r="AK53" s="85">
        <f t="shared" si="14"/>
        <v>1</v>
      </c>
      <c r="AL53" s="85">
        <f t="shared" si="14"/>
        <v>3</v>
      </c>
      <c r="AM53" s="85">
        <f t="shared" si="14"/>
        <v>4.89181561618062</v>
      </c>
      <c r="AN53" s="85">
        <f t="shared" si="14"/>
        <v>24.28</v>
      </c>
      <c r="AO53" s="85">
        <f t="shared" si="14"/>
        <v>1.2</v>
      </c>
      <c r="AP53" s="85">
        <f t="shared" si="14"/>
        <v>29.1</v>
      </c>
      <c r="AQ53" s="85">
        <f t="shared" si="14"/>
        <v>0.5</v>
      </c>
      <c r="AR53" s="85">
        <f t="shared" si="15"/>
        <v>1</v>
      </c>
      <c r="AS53" s="85">
        <f t="shared" si="15"/>
        <v>0</v>
      </c>
      <c r="AT53" s="85">
        <f t="shared" si="15"/>
        <v>0</v>
      </c>
      <c r="AU53" s="85">
        <f t="shared" si="15"/>
        <v>1</v>
      </c>
      <c r="AV53" s="85">
        <f t="shared" si="15"/>
        <v>0.5</v>
      </c>
      <c r="AW53" s="85">
        <f t="shared" si="15"/>
        <v>55</v>
      </c>
      <c r="AX53" s="85">
        <f t="shared" si="15"/>
        <v>2</v>
      </c>
      <c r="AY53" s="85">
        <f t="shared" si="15"/>
        <v>2</v>
      </c>
      <c r="AZ53" s="85">
        <f t="shared" si="15"/>
        <v>261</v>
      </c>
      <c r="BA53" s="85">
        <f t="shared" si="15"/>
        <v>35</v>
      </c>
      <c r="BB53" s="85">
        <f t="shared" si="15"/>
        <v>0.25</v>
      </c>
      <c r="BC53" s="85">
        <f t="shared" si="15"/>
        <v>0.1</v>
      </c>
      <c r="BD53" s="85">
        <f t="shared" si="15"/>
        <v>31883</v>
      </c>
      <c r="BE53" s="85">
        <f t="shared" si="15"/>
        <v>77.12</v>
      </c>
    </row>
    <row r="54" spans="1:57">
      <c r="A54" s="85">
        <f>tblCities!A24</f>
        <v>22</v>
      </c>
      <c r="B54" s="85">
        <f>tblCities!B24</f>
        <v>0</v>
      </c>
      <c r="C54" s="85" t="str">
        <f>tblCities!C24</f>
        <v>Guangzhou</v>
      </c>
      <c r="D54" s="85">
        <f>tblCities!H23</f>
        <v>1</v>
      </c>
      <c r="E54" s="85">
        <f>tblCities!I23</f>
        <v>0</v>
      </c>
      <c r="F54" s="85">
        <f>tblCities!J23</f>
        <v>1</v>
      </c>
      <c r="N54" s="85">
        <f t="shared" si="12"/>
        <v>1</v>
      </c>
      <c r="O54" s="85">
        <f t="shared" si="12"/>
        <v>1</v>
      </c>
      <c r="P54" s="85">
        <f t="shared" si="12"/>
        <v>0</v>
      </c>
      <c r="Q54" s="85">
        <f t="shared" si="12"/>
        <v>1</v>
      </c>
      <c r="R54" s="85">
        <f t="shared" si="12"/>
        <v>75</v>
      </c>
      <c r="S54" s="85">
        <f t="shared" si="12"/>
        <v>1</v>
      </c>
      <c r="T54" s="85">
        <f t="shared" si="12"/>
        <v>14</v>
      </c>
      <c r="U54" s="85">
        <f t="shared" si="12"/>
        <v>3</v>
      </c>
      <c r="V54" s="85">
        <f t="shared" si="12"/>
        <v>0.631</v>
      </c>
      <c r="W54" s="85">
        <f t="shared" si="12"/>
        <v>86.8</v>
      </c>
      <c r="X54" s="85">
        <f t="shared" si="13"/>
        <v>62.5</v>
      </c>
      <c r="Y54" s="85">
        <f t="shared" si="13"/>
        <v>4.84</v>
      </c>
      <c r="Z54" s="85">
        <f t="shared" si="13"/>
        <v>2.89</v>
      </c>
      <c r="AA54" s="85">
        <f t="shared" si="13"/>
        <v>90.9</v>
      </c>
      <c r="AB54" s="85">
        <f t="shared" si="13"/>
        <v>2.5</v>
      </c>
      <c r="AC54" s="85">
        <f t="shared" si="13"/>
        <v>32</v>
      </c>
      <c r="AD54" s="85">
        <f t="shared" si="13"/>
        <v>54.9</v>
      </c>
      <c r="AE54" s="85">
        <f t="shared" si="13"/>
        <v>76.49</v>
      </c>
      <c r="AF54" s="85">
        <f t="shared" si="13"/>
        <v>12</v>
      </c>
      <c r="AG54" s="85">
        <f t="shared" si="13"/>
        <v>144</v>
      </c>
      <c r="AH54" s="85">
        <f t="shared" si="14"/>
        <v>4.25</v>
      </c>
      <c r="AI54" s="85">
        <f t="shared" si="14"/>
        <v>5</v>
      </c>
      <c r="AJ54" s="85">
        <f t="shared" si="14"/>
        <v>2</v>
      </c>
      <c r="AK54" s="85">
        <f t="shared" si="14"/>
        <v>2</v>
      </c>
      <c r="AL54" s="85">
        <f t="shared" si="14"/>
        <v>2</v>
      </c>
      <c r="AM54" s="85">
        <f t="shared" si="14"/>
        <v>5.23138832997988</v>
      </c>
      <c r="AN54" s="85">
        <f t="shared" si="14"/>
        <v>18</v>
      </c>
      <c r="AO54" s="85">
        <f t="shared" si="14"/>
        <v>1</v>
      </c>
      <c r="AP54" s="85">
        <f t="shared" si="14"/>
        <v>29.1</v>
      </c>
      <c r="AQ54" s="85">
        <f t="shared" si="14"/>
        <v>0.5</v>
      </c>
      <c r="AR54" s="85">
        <f t="shared" si="15"/>
        <v>1</v>
      </c>
      <c r="AS54" s="85">
        <f t="shared" si="15"/>
        <v>0</v>
      </c>
      <c r="AT54" s="85">
        <f t="shared" si="15"/>
        <v>0</v>
      </c>
      <c r="AU54" s="85">
        <f t="shared" si="15"/>
        <v>1</v>
      </c>
      <c r="AV54" s="85">
        <f t="shared" si="15"/>
        <v>0.5</v>
      </c>
      <c r="AW54" s="85">
        <f t="shared" si="15"/>
        <v>55</v>
      </c>
      <c r="AX54" s="85">
        <f t="shared" si="15"/>
        <v>3</v>
      </c>
      <c r="AY54" s="85">
        <f t="shared" si="15"/>
        <v>2</v>
      </c>
      <c r="AZ54" s="85">
        <f t="shared" si="15"/>
        <v>261</v>
      </c>
      <c r="BA54" s="85">
        <f t="shared" si="15"/>
        <v>35</v>
      </c>
      <c r="BB54" s="85">
        <f t="shared" si="15"/>
        <v>0.25</v>
      </c>
      <c r="BC54" s="85">
        <f t="shared" si="15"/>
        <v>0</v>
      </c>
      <c r="BD54" s="85">
        <f t="shared" si="15"/>
        <v>31883</v>
      </c>
      <c r="BE54" s="85">
        <f t="shared" si="15"/>
        <v>59.38</v>
      </c>
    </row>
    <row r="55" spans="1:57">
      <c r="A55" s="85">
        <f>tblCities!A25</f>
        <v>23</v>
      </c>
      <c r="B55" s="85">
        <f>tblCities!B25</f>
        <v>0</v>
      </c>
      <c r="C55" s="85" t="str">
        <f>tblCities!C25</f>
        <v>Tianjin</v>
      </c>
      <c r="D55" s="85">
        <f>tblCities!H24</f>
        <v>1</v>
      </c>
      <c r="E55" s="85">
        <f>tblCities!I24</f>
        <v>0</v>
      </c>
      <c r="F55" s="85">
        <f>tblCities!J24</f>
        <v>1</v>
      </c>
      <c r="N55" s="85">
        <f t="shared" si="12"/>
        <v>1</v>
      </c>
      <c r="O55" s="85">
        <f t="shared" si="12"/>
        <v>1</v>
      </c>
      <c r="P55" s="85">
        <f t="shared" si="12"/>
        <v>0</v>
      </c>
      <c r="Q55" s="85">
        <f t="shared" si="12"/>
        <v>1</v>
      </c>
      <c r="R55" s="85">
        <f t="shared" si="12"/>
        <v>75</v>
      </c>
      <c r="S55" s="85">
        <f t="shared" si="12"/>
        <v>1</v>
      </c>
      <c r="T55" s="85">
        <f t="shared" si="12"/>
        <v>14</v>
      </c>
      <c r="U55" s="85">
        <f t="shared" si="12"/>
        <v>3</v>
      </c>
      <c r="V55" s="85">
        <f t="shared" si="12"/>
        <v>0.585</v>
      </c>
      <c r="W55" s="85">
        <f t="shared" si="12"/>
        <v>79.4</v>
      </c>
      <c r="X55" s="85">
        <f t="shared" si="13"/>
        <v>66.7</v>
      </c>
      <c r="Y55" s="85">
        <f t="shared" si="13"/>
        <v>3.79</v>
      </c>
      <c r="Z55" s="85">
        <f t="shared" si="13"/>
        <v>2.17</v>
      </c>
      <c r="AA55" s="85">
        <f t="shared" si="13"/>
        <v>90.9</v>
      </c>
      <c r="AB55" s="85">
        <f t="shared" si="13"/>
        <v>2.5</v>
      </c>
      <c r="AC55" s="85">
        <f t="shared" si="13"/>
        <v>44</v>
      </c>
      <c r="AD55" s="85">
        <f t="shared" si="13"/>
        <v>72.4</v>
      </c>
      <c r="AE55" s="85">
        <f t="shared" si="13"/>
        <v>78.89</v>
      </c>
      <c r="AF55" s="85">
        <f t="shared" si="13"/>
        <v>12</v>
      </c>
      <c r="AG55" s="85">
        <f t="shared" si="13"/>
        <v>122.19</v>
      </c>
      <c r="AH55" s="85">
        <f t="shared" si="14"/>
        <v>4.25</v>
      </c>
      <c r="AI55" s="85">
        <f t="shared" si="14"/>
        <v>5</v>
      </c>
      <c r="AJ55" s="85">
        <f t="shared" si="14"/>
        <v>2</v>
      </c>
      <c r="AK55" s="85">
        <f t="shared" si="14"/>
        <v>1</v>
      </c>
      <c r="AL55" s="85">
        <f t="shared" si="14"/>
        <v>3</v>
      </c>
      <c r="AM55" s="85">
        <f t="shared" si="14"/>
        <v>7.57430488974113</v>
      </c>
      <c r="AN55" s="85">
        <f t="shared" si="14"/>
        <v>24</v>
      </c>
      <c r="AO55" s="85">
        <f t="shared" si="14"/>
        <v>1</v>
      </c>
      <c r="AP55" s="85">
        <f t="shared" si="14"/>
        <v>29.1</v>
      </c>
      <c r="AQ55" s="85">
        <f t="shared" si="14"/>
        <v>0.5</v>
      </c>
      <c r="AR55" s="85">
        <f t="shared" si="15"/>
        <v>1</v>
      </c>
      <c r="AS55" s="85">
        <f t="shared" si="15"/>
        <v>0</v>
      </c>
      <c r="AT55" s="85">
        <f t="shared" si="15"/>
        <v>0</v>
      </c>
      <c r="AU55" s="85">
        <f t="shared" si="15"/>
        <v>1</v>
      </c>
      <c r="AV55" s="85">
        <f t="shared" si="15"/>
        <v>0.5</v>
      </c>
      <c r="AW55" s="85">
        <f t="shared" si="15"/>
        <v>55</v>
      </c>
      <c r="AX55" s="85">
        <f t="shared" si="15"/>
        <v>2</v>
      </c>
      <c r="AY55" s="85">
        <f t="shared" si="15"/>
        <v>1</v>
      </c>
      <c r="AZ55" s="85">
        <f t="shared" si="15"/>
        <v>261</v>
      </c>
      <c r="BA55" s="85">
        <f t="shared" si="15"/>
        <v>35</v>
      </c>
      <c r="BB55" s="85">
        <f t="shared" si="15"/>
        <v>0.25</v>
      </c>
      <c r="BC55" s="85">
        <f t="shared" si="15"/>
        <v>0</v>
      </c>
      <c r="BD55" s="85">
        <f t="shared" si="15"/>
        <v>31883</v>
      </c>
      <c r="BE55" s="85">
        <f t="shared" si="15"/>
        <v>58.85</v>
      </c>
    </row>
    <row r="56" spans="1:57">
      <c r="A56" s="85">
        <f>tblCities!A26</f>
        <v>24</v>
      </c>
      <c r="B56" s="85">
        <f>tblCities!B26</f>
        <v>0</v>
      </c>
      <c r="C56" s="85" t="str">
        <f>tblCities!C26</f>
        <v>Mumbai</v>
      </c>
      <c r="D56" s="85">
        <f>tblCities!H25</f>
        <v>1</v>
      </c>
      <c r="E56" s="85">
        <f>tblCities!I25</f>
        <v>0</v>
      </c>
      <c r="F56" s="85">
        <f>tblCities!J25</f>
        <v>1</v>
      </c>
      <c r="N56" s="85">
        <f t="shared" si="12"/>
        <v>2</v>
      </c>
      <c r="O56" s="85">
        <f t="shared" si="12"/>
        <v>3</v>
      </c>
      <c r="P56" s="85">
        <f t="shared" si="12"/>
        <v>0</v>
      </c>
      <c r="Q56" s="85">
        <f t="shared" si="12"/>
        <v>2</v>
      </c>
      <c r="R56" s="85">
        <f t="shared" si="12"/>
        <v>75</v>
      </c>
      <c r="S56" s="85">
        <f t="shared" si="12"/>
        <v>2</v>
      </c>
      <c r="T56" s="85">
        <f t="shared" si="12"/>
        <v>12</v>
      </c>
      <c r="U56" s="85">
        <f t="shared" si="12"/>
        <v>3</v>
      </c>
      <c r="V56" s="85">
        <f t="shared" si="12"/>
        <v>0.47</v>
      </c>
      <c r="W56" s="85">
        <f t="shared" si="12"/>
        <v>62</v>
      </c>
      <c r="X56" s="85">
        <f t="shared" si="13"/>
        <v>54.2</v>
      </c>
      <c r="Y56" s="85">
        <f t="shared" si="13"/>
        <v>1.92</v>
      </c>
      <c r="Z56" s="85">
        <f t="shared" si="13"/>
        <v>0.54</v>
      </c>
      <c r="AA56" s="85">
        <f t="shared" si="13"/>
        <v>81.2</v>
      </c>
      <c r="AB56" s="85">
        <f t="shared" si="13"/>
        <v>3.5</v>
      </c>
      <c r="AC56" s="85">
        <f t="shared" si="13"/>
        <v>45</v>
      </c>
      <c r="AD56" s="85">
        <f t="shared" si="13"/>
        <v>64.5</v>
      </c>
      <c r="AE56" s="85">
        <f t="shared" si="13"/>
        <v>71</v>
      </c>
      <c r="AF56" s="85">
        <f t="shared" si="13"/>
        <v>34.6</v>
      </c>
      <c r="AG56" s="85">
        <f t="shared" si="13"/>
        <v>64.49</v>
      </c>
      <c r="AH56" s="85">
        <f t="shared" si="14"/>
        <v>2.5</v>
      </c>
      <c r="AI56" s="85">
        <f t="shared" si="14"/>
        <v>2.5</v>
      </c>
      <c r="AJ56" s="85">
        <f t="shared" si="14"/>
        <v>5</v>
      </c>
      <c r="AK56" s="85">
        <f t="shared" si="14"/>
        <v>2</v>
      </c>
      <c r="AL56" s="85">
        <f t="shared" si="14"/>
        <v>4</v>
      </c>
      <c r="AM56" s="85">
        <f t="shared" si="14"/>
        <v>0</v>
      </c>
      <c r="AN56" s="85">
        <f t="shared" si="14"/>
        <v>19</v>
      </c>
      <c r="AO56" s="85">
        <f t="shared" si="14"/>
        <v>1.4</v>
      </c>
      <c r="AP56" s="85">
        <f t="shared" si="14"/>
        <v>29.4</v>
      </c>
      <c r="AQ56" s="85">
        <f t="shared" si="14"/>
        <v>1</v>
      </c>
      <c r="AR56" s="85">
        <f t="shared" si="15"/>
        <v>1</v>
      </c>
      <c r="AS56" s="85">
        <f t="shared" si="15"/>
        <v>1</v>
      </c>
      <c r="AT56" s="85">
        <f t="shared" si="15"/>
        <v>1</v>
      </c>
      <c r="AU56" s="85">
        <f t="shared" si="15"/>
        <v>0</v>
      </c>
      <c r="AV56" s="85">
        <f t="shared" si="15"/>
        <v>3.7</v>
      </c>
      <c r="AW56" s="85">
        <f t="shared" si="15"/>
        <v>20</v>
      </c>
      <c r="AX56" s="85">
        <f t="shared" si="15"/>
        <v>4</v>
      </c>
      <c r="AY56" s="85">
        <f t="shared" si="15"/>
        <v>2</v>
      </c>
      <c r="AZ56" s="85">
        <f t="shared" si="15"/>
        <v>68.59</v>
      </c>
      <c r="BA56" s="85">
        <f t="shared" si="15"/>
        <v>33</v>
      </c>
      <c r="BB56" s="85">
        <f t="shared" si="15"/>
        <v>0.4</v>
      </c>
      <c r="BC56" s="85">
        <f t="shared" si="15"/>
        <v>1.3</v>
      </c>
      <c r="BD56" s="85">
        <f t="shared" si="15"/>
        <v>338</v>
      </c>
      <c r="BE56" s="85">
        <f t="shared" si="15"/>
        <v>51.04</v>
      </c>
    </row>
    <row r="57" spans="1:57">
      <c r="A57" s="85">
        <f>tblCities!A27</f>
        <v>25</v>
      </c>
      <c r="B57" s="85">
        <f>tblCities!B27</f>
        <v>0</v>
      </c>
      <c r="C57" s="85" t="str">
        <f>tblCities!C27</f>
        <v>Delhi</v>
      </c>
      <c r="D57" s="85">
        <f>tblCities!H26</f>
        <v>1</v>
      </c>
      <c r="E57" s="85">
        <f>tblCities!I26</f>
        <v>1</v>
      </c>
      <c r="F57" s="85">
        <f>tblCities!J26</f>
        <v>0</v>
      </c>
      <c r="N57" s="85">
        <f t="shared" si="12"/>
        <v>2</v>
      </c>
      <c r="O57" s="85">
        <f t="shared" si="12"/>
        <v>3</v>
      </c>
      <c r="P57" s="85">
        <f t="shared" si="12"/>
        <v>0</v>
      </c>
      <c r="Q57" s="85">
        <f t="shared" si="12"/>
        <v>2</v>
      </c>
      <c r="R57" s="85">
        <f t="shared" si="12"/>
        <v>75</v>
      </c>
      <c r="S57" s="85">
        <f t="shared" si="12"/>
        <v>1</v>
      </c>
      <c r="T57" s="85">
        <f t="shared" si="12"/>
        <v>12</v>
      </c>
      <c r="U57" s="85">
        <f t="shared" si="12"/>
        <v>3</v>
      </c>
      <c r="V57" s="85">
        <f t="shared" si="12"/>
        <v>0.4835</v>
      </c>
      <c r="W57" s="85">
        <f t="shared" si="12"/>
        <v>88.2</v>
      </c>
      <c r="X57" s="85">
        <f t="shared" si="13"/>
        <v>58.3</v>
      </c>
      <c r="Y57" s="85">
        <f t="shared" si="13"/>
        <v>2.25</v>
      </c>
      <c r="Z57" s="85">
        <f t="shared" si="13"/>
        <v>3.1</v>
      </c>
      <c r="AA57" s="85">
        <f t="shared" si="13"/>
        <v>81.2</v>
      </c>
      <c r="AB57" s="85">
        <f t="shared" si="13"/>
        <v>2.5</v>
      </c>
      <c r="AC57" s="85">
        <f t="shared" si="13"/>
        <v>153</v>
      </c>
      <c r="AD57" s="85">
        <f t="shared" si="13"/>
        <v>56.3</v>
      </c>
      <c r="AE57" s="85">
        <f t="shared" si="13"/>
        <v>69.6</v>
      </c>
      <c r="AF57" s="85">
        <f t="shared" si="13"/>
        <v>23.93</v>
      </c>
      <c r="AG57" s="85">
        <f t="shared" si="13"/>
        <v>37.81</v>
      </c>
      <c r="AH57" s="85">
        <f t="shared" si="14"/>
        <v>2.5</v>
      </c>
      <c r="AI57" s="85">
        <f t="shared" si="14"/>
        <v>2.5</v>
      </c>
      <c r="AJ57" s="85">
        <f t="shared" si="14"/>
        <v>3</v>
      </c>
      <c r="AK57" s="85">
        <f t="shared" si="14"/>
        <v>3</v>
      </c>
      <c r="AL57" s="85">
        <f t="shared" si="14"/>
        <v>4</v>
      </c>
      <c r="AM57" s="85">
        <f t="shared" si="14"/>
        <v>56.32</v>
      </c>
      <c r="AN57" s="85">
        <f t="shared" si="14"/>
        <v>36</v>
      </c>
      <c r="AO57" s="85">
        <f t="shared" si="14"/>
        <v>2.6</v>
      </c>
      <c r="AP57" s="85">
        <f t="shared" si="14"/>
        <v>29.4</v>
      </c>
      <c r="AQ57" s="85">
        <f t="shared" si="14"/>
        <v>1</v>
      </c>
      <c r="AR57" s="85">
        <f t="shared" si="15"/>
        <v>1</v>
      </c>
      <c r="AS57" s="85">
        <f t="shared" si="15"/>
        <v>0</v>
      </c>
      <c r="AT57" s="85">
        <f t="shared" si="15"/>
        <v>1</v>
      </c>
      <c r="AU57" s="85">
        <f t="shared" si="15"/>
        <v>1</v>
      </c>
      <c r="AV57" s="85">
        <f t="shared" si="15"/>
        <v>3.7</v>
      </c>
      <c r="AW57" s="85">
        <f t="shared" si="15"/>
        <v>20</v>
      </c>
      <c r="AX57" s="85">
        <f t="shared" si="15"/>
        <v>3</v>
      </c>
      <c r="AY57" s="85">
        <f t="shared" si="15"/>
        <v>3</v>
      </c>
      <c r="AZ57" s="85">
        <f t="shared" si="15"/>
        <v>68.59</v>
      </c>
      <c r="BA57" s="85">
        <f t="shared" si="15"/>
        <v>33</v>
      </c>
      <c r="BB57" s="85">
        <f t="shared" si="15"/>
        <v>0.4</v>
      </c>
      <c r="BC57" s="85">
        <f t="shared" si="15"/>
        <v>1.4</v>
      </c>
      <c r="BD57" s="85">
        <f t="shared" si="15"/>
        <v>1559</v>
      </c>
      <c r="BE57" s="85">
        <f t="shared" si="15"/>
        <v>41.41</v>
      </c>
    </row>
    <row r="58" spans="1:57">
      <c r="A58" s="85">
        <f>tblCities!A28</f>
        <v>26</v>
      </c>
      <c r="B58" s="85">
        <f>tblCities!B28</f>
        <v>0</v>
      </c>
      <c r="C58" s="85" t="str">
        <f>tblCities!C28</f>
        <v>Jakarta</v>
      </c>
      <c r="D58" s="85">
        <f>tblCities!H27</f>
        <v>1</v>
      </c>
      <c r="E58" s="85">
        <f>tblCities!I27</f>
        <v>1</v>
      </c>
      <c r="F58" s="85">
        <f>tblCities!J27</f>
        <v>0</v>
      </c>
      <c r="N58" s="85">
        <f t="shared" si="12"/>
        <v>2</v>
      </c>
      <c r="O58" s="85">
        <f t="shared" si="12"/>
        <v>2</v>
      </c>
      <c r="P58" s="85">
        <f t="shared" si="12"/>
        <v>0</v>
      </c>
      <c r="Q58" s="85">
        <f t="shared" si="12"/>
        <v>0</v>
      </c>
      <c r="R58" s="85">
        <f t="shared" si="12"/>
        <v>75</v>
      </c>
      <c r="S58" s="85">
        <f t="shared" si="12"/>
        <v>1</v>
      </c>
      <c r="T58" s="85">
        <f t="shared" si="12"/>
        <v>11</v>
      </c>
      <c r="U58" s="85">
        <f t="shared" si="12"/>
        <v>3</v>
      </c>
      <c r="V58" s="85">
        <f t="shared" si="12"/>
        <v>0.369</v>
      </c>
      <c r="W58" s="85">
        <f t="shared" si="12"/>
        <v>89.6</v>
      </c>
      <c r="X58" s="85">
        <f t="shared" si="13"/>
        <v>45.8</v>
      </c>
      <c r="Y58" s="85">
        <f t="shared" si="13"/>
        <v>1.6</v>
      </c>
      <c r="Z58" s="85">
        <f t="shared" si="13"/>
        <v>0.3</v>
      </c>
      <c r="AA58" s="85">
        <f t="shared" si="13"/>
        <v>72.7</v>
      </c>
      <c r="AB58" s="85">
        <f t="shared" si="13"/>
        <v>3.5</v>
      </c>
      <c r="AC58" s="85">
        <f t="shared" si="13"/>
        <v>21</v>
      </c>
      <c r="AD58" s="85">
        <f t="shared" si="13"/>
        <v>49.2</v>
      </c>
      <c r="AE58" s="85">
        <f t="shared" si="13"/>
        <v>73.23</v>
      </c>
      <c r="AF58" s="85">
        <f t="shared" si="13"/>
        <v>14</v>
      </c>
      <c r="AG58" s="85">
        <f t="shared" si="13"/>
        <v>89.28</v>
      </c>
      <c r="AH58" s="85">
        <f t="shared" si="14"/>
        <v>6.25</v>
      </c>
      <c r="AI58" s="85">
        <f t="shared" si="14"/>
        <v>2.5</v>
      </c>
      <c r="AJ58" s="85">
        <f t="shared" si="14"/>
        <v>3</v>
      </c>
      <c r="AK58" s="85">
        <f t="shared" si="14"/>
        <v>3</v>
      </c>
      <c r="AL58" s="85">
        <f t="shared" si="14"/>
        <v>3</v>
      </c>
      <c r="AM58" s="85">
        <f t="shared" si="14"/>
        <v>2113.64705882353</v>
      </c>
      <c r="AN58" s="85">
        <f t="shared" si="14"/>
        <v>62</v>
      </c>
      <c r="AO58" s="85">
        <f t="shared" si="14"/>
        <v>2.7</v>
      </c>
      <c r="AP58" s="85">
        <f t="shared" si="14"/>
        <v>23</v>
      </c>
      <c r="AQ58" s="85">
        <f t="shared" si="14"/>
        <v>0.5</v>
      </c>
      <c r="AR58" s="85">
        <f t="shared" si="14"/>
        <v>1</v>
      </c>
      <c r="AS58" s="85">
        <f t="shared" si="14"/>
        <v>1</v>
      </c>
      <c r="AT58" s="85">
        <f t="shared" si="14"/>
        <v>0</v>
      </c>
      <c r="AU58" s="85">
        <f t="shared" si="14"/>
        <v>0</v>
      </c>
      <c r="AV58" s="85">
        <f t="shared" si="14"/>
        <v>2.1</v>
      </c>
      <c r="AW58" s="85">
        <f t="shared" si="14"/>
        <v>30</v>
      </c>
      <c r="AX58" s="85">
        <f t="shared" ref="AR58:BE75" si="16">IF(AX$29=1,INDEX(aData,AX$7,$A58),"n.a.")</f>
        <v>4</v>
      </c>
      <c r="AY58" s="85">
        <f t="shared" si="16"/>
        <v>2</v>
      </c>
      <c r="AZ58" s="85">
        <f t="shared" si="16"/>
        <v>23.05</v>
      </c>
      <c r="BA58" s="85">
        <f t="shared" si="16"/>
        <v>28</v>
      </c>
      <c r="BB58" s="85" t="str">
        <f t="shared" si="16"/>
        <v>&lt; 0.1 </v>
      </c>
      <c r="BC58" s="85">
        <f t="shared" si="16"/>
        <v>1.9</v>
      </c>
      <c r="BD58" s="85">
        <f t="shared" si="16"/>
        <v>85</v>
      </c>
      <c r="BE58" s="85">
        <f t="shared" si="16"/>
        <v>52.19</v>
      </c>
    </row>
    <row r="59" spans="1:57">
      <c r="A59" s="85">
        <f>tblCities!A29</f>
        <v>27</v>
      </c>
      <c r="B59" s="85">
        <f>tblCities!B29</f>
        <v>0</v>
      </c>
      <c r="C59" s="85" t="str">
        <f>tblCities!C29</f>
        <v>Tehran</v>
      </c>
      <c r="D59" s="85">
        <f>tblCities!H28</f>
        <v>1</v>
      </c>
      <c r="E59" s="85">
        <f>tblCities!I28</f>
        <v>1</v>
      </c>
      <c r="F59" s="85">
        <f>tblCities!J28</f>
        <v>0</v>
      </c>
      <c r="N59" s="85">
        <f t="shared" ref="N59:AC74" si="17">IF(N$29=1,INDEX(aData,N$7,$A59),"n.a.")</f>
        <v>1</v>
      </c>
      <c r="O59" s="85">
        <f t="shared" si="17"/>
        <v>0</v>
      </c>
      <c r="P59" s="85">
        <f t="shared" si="17"/>
        <v>0</v>
      </c>
      <c r="Q59" s="85">
        <f t="shared" si="17"/>
        <v>0</v>
      </c>
      <c r="R59" s="85">
        <f t="shared" si="17"/>
        <v>50</v>
      </c>
      <c r="S59" s="85">
        <f t="shared" si="17"/>
        <v>1</v>
      </c>
      <c r="T59" s="85">
        <f t="shared" si="17"/>
        <v>0</v>
      </c>
      <c r="U59" s="85">
        <f t="shared" si="17"/>
        <v>3</v>
      </c>
      <c r="V59" s="85">
        <f t="shared" si="17"/>
        <v>0.26</v>
      </c>
      <c r="W59" s="85">
        <f t="shared" si="17"/>
        <v>71</v>
      </c>
      <c r="X59" s="85">
        <f t="shared" si="17"/>
        <v>62.5</v>
      </c>
      <c r="Y59" s="85">
        <f t="shared" si="17"/>
        <v>0.1</v>
      </c>
      <c r="Z59" s="85">
        <f t="shared" si="17"/>
        <v>0.89</v>
      </c>
      <c r="AA59" s="85">
        <f t="shared" si="17"/>
        <v>75</v>
      </c>
      <c r="AB59" s="85">
        <f t="shared" si="17"/>
        <v>2.5</v>
      </c>
      <c r="AC59" s="85">
        <f t="shared" si="17"/>
        <v>30</v>
      </c>
      <c r="AD59" s="85">
        <f t="shared" ref="AD59:AQ78" si="18">IF(AD$29=1,INDEX(aData,AD$7,$A59),"n.a.")</f>
        <v>46</v>
      </c>
      <c r="AE59" s="85">
        <f t="shared" si="18"/>
        <v>76.5</v>
      </c>
      <c r="AF59" s="85">
        <f t="shared" si="18"/>
        <v>39</v>
      </c>
      <c r="AG59" s="85">
        <f t="shared" si="18"/>
        <v>81.9</v>
      </c>
      <c r="AH59" s="85">
        <f t="shared" si="18"/>
        <v>5.5</v>
      </c>
      <c r="AI59" s="85">
        <f t="shared" si="18"/>
        <v>2.5</v>
      </c>
      <c r="AJ59" s="85">
        <f t="shared" si="18"/>
        <v>3</v>
      </c>
      <c r="AK59" s="85">
        <f t="shared" si="18"/>
        <v>4</v>
      </c>
      <c r="AL59" s="85">
        <f t="shared" si="18"/>
        <v>3</v>
      </c>
      <c r="AM59" s="85">
        <f t="shared" si="18"/>
        <v>11.1666666666667</v>
      </c>
      <c r="AN59" s="85">
        <f t="shared" si="18"/>
        <v>156</v>
      </c>
      <c r="AO59" s="85">
        <f t="shared" si="18"/>
        <v>10.4</v>
      </c>
      <c r="AP59" s="85">
        <f t="shared" si="18"/>
        <v>15</v>
      </c>
      <c r="AQ59" s="85">
        <f t="shared" si="18"/>
        <v>0.5</v>
      </c>
      <c r="AR59" s="85">
        <f t="shared" si="16"/>
        <v>0</v>
      </c>
      <c r="AS59" s="85">
        <f t="shared" si="16"/>
        <v>0</v>
      </c>
      <c r="AT59" s="85">
        <f t="shared" si="16"/>
        <v>1</v>
      </c>
      <c r="AU59" s="85">
        <f t="shared" si="16"/>
        <v>1</v>
      </c>
      <c r="AV59" s="85">
        <f t="shared" si="16"/>
        <v>3.6</v>
      </c>
      <c r="AW59" s="85">
        <f t="shared" si="16"/>
        <v>75</v>
      </c>
      <c r="AX59" s="85">
        <f t="shared" si="16"/>
        <v>3</v>
      </c>
      <c r="AY59" s="85">
        <f t="shared" si="16"/>
        <v>2</v>
      </c>
      <c r="AZ59" s="85">
        <f t="shared" si="16"/>
        <v>10.64</v>
      </c>
      <c r="BA59" s="85">
        <f t="shared" si="16"/>
        <v>22</v>
      </c>
      <c r="BB59" s="85" t="str">
        <f t="shared" si="16"/>
        <v>&lt; 0.1 </v>
      </c>
      <c r="BC59" s="85">
        <f t="shared" si="16"/>
        <v>1.1</v>
      </c>
      <c r="BD59" s="85">
        <f t="shared" si="16"/>
        <v>60.83</v>
      </c>
      <c r="BE59" s="85">
        <f t="shared" si="16"/>
        <v>43.73</v>
      </c>
    </row>
    <row r="60" spans="1:57">
      <c r="A60" s="85">
        <f>tblCities!A30</f>
        <v>28</v>
      </c>
      <c r="B60" s="85">
        <f>tblCities!B30</f>
        <v>0</v>
      </c>
      <c r="C60" s="85" t="str">
        <f>tblCities!C30</f>
        <v>Tokyo</v>
      </c>
      <c r="D60" s="85">
        <f>tblCities!H29</f>
        <v>1</v>
      </c>
      <c r="E60" s="85">
        <f>tblCities!I29</f>
        <v>0</v>
      </c>
      <c r="F60" s="85">
        <f>tblCities!J29</f>
        <v>1</v>
      </c>
      <c r="N60" s="85">
        <f t="shared" si="17"/>
        <v>2</v>
      </c>
      <c r="O60" s="85">
        <f t="shared" si="17"/>
        <v>1</v>
      </c>
      <c r="P60" s="85">
        <f t="shared" si="17"/>
        <v>0</v>
      </c>
      <c r="Q60" s="85">
        <f t="shared" si="17"/>
        <v>2</v>
      </c>
      <c r="R60" s="85">
        <f t="shared" si="17"/>
        <v>100</v>
      </c>
      <c r="S60" s="85">
        <f t="shared" si="17"/>
        <v>2</v>
      </c>
      <c r="T60" s="85">
        <f t="shared" si="17"/>
        <v>1</v>
      </c>
      <c r="U60" s="85">
        <f t="shared" si="17"/>
        <v>1</v>
      </c>
      <c r="V60" s="85">
        <f t="shared" si="17"/>
        <v>0.87</v>
      </c>
      <c r="W60" s="85">
        <f t="shared" si="17"/>
        <v>96.5</v>
      </c>
      <c r="X60" s="85">
        <f t="shared" si="17"/>
        <v>100</v>
      </c>
      <c r="Y60" s="85">
        <f t="shared" si="17"/>
        <v>8.38</v>
      </c>
      <c r="Z60" s="85">
        <f t="shared" si="17"/>
        <v>3.04</v>
      </c>
      <c r="AA60" s="85">
        <f t="shared" si="17"/>
        <v>100</v>
      </c>
      <c r="AB60" s="85">
        <f t="shared" si="17"/>
        <v>1</v>
      </c>
      <c r="AC60" s="85">
        <f t="shared" si="17"/>
        <v>10</v>
      </c>
      <c r="AD60" s="85">
        <f t="shared" si="18"/>
        <v>79.5</v>
      </c>
      <c r="AE60" s="85">
        <f t="shared" si="18"/>
        <v>82.46</v>
      </c>
      <c r="AF60" s="85">
        <f t="shared" si="18"/>
        <v>2.2</v>
      </c>
      <c r="AG60" s="85">
        <f t="shared" si="18"/>
        <v>254.9</v>
      </c>
      <c r="AH60" s="85">
        <f t="shared" si="18"/>
        <v>7.75</v>
      </c>
      <c r="AI60" s="85">
        <f t="shared" si="18"/>
        <v>5</v>
      </c>
      <c r="AJ60" s="85">
        <f t="shared" si="18"/>
        <v>1</v>
      </c>
      <c r="AK60" s="85">
        <f t="shared" si="18"/>
        <v>1</v>
      </c>
      <c r="AL60" s="85">
        <f t="shared" si="18"/>
        <v>1</v>
      </c>
      <c r="AM60" s="85">
        <f t="shared" si="18"/>
        <v>212.5</v>
      </c>
      <c r="AN60" s="85">
        <f t="shared" si="18"/>
        <v>357</v>
      </c>
      <c r="AO60" s="85">
        <f t="shared" si="18"/>
        <v>1.7</v>
      </c>
      <c r="AP60" s="85">
        <f t="shared" si="18"/>
        <v>15.7</v>
      </c>
      <c r="AQ60" s="85">
        <f t="shared" si="18"/>
        <v>1</v>
      </c>
      <c r="AR60" s="85">
        <f t="shared" si="16"/>
        <v>1</v>
      </c>
      <c r="AS60" s="85">
        <f t="shared" si="16"/>
        <v>1</v>
      </c>
      <c r="AT60" s="85">
        <f t="shared" si="16"/>
        <v>1</v>
      </c>
      <c r="AU60" s="85">
        <f t="shared" si="16"/>
        <v>1</v>
      </c>
      <c r="AV60" s="85">
        <f t="shared" si="16"/>
        <v>1.5</v>
      </c>
      <c r="AW60" s="85">
        <f t="shared" si="16"/>
        <v>10</v>
      </c>
      <c r="AX60" s="85">
        <f t="shared" si="16"/>
        <v>2</v>
      </c>
      <c r="AY60" s="85">
        <f t="shared" si="16"/>
        <v>1</v>
      </c>
      <c r="AZ60" s="85">
        <f t="shared" si="16"/>
        <v>108.3</v>
      </c>
      <c r="BA60" s="85">
        <f t="shared" si="16"/>
        <v>78</v>
      </c>
      <c r="BB60" s="85">
        <f t="shared" si="16"/>
        <v>0.03</v>
      </c>
      <c r="BC60" s="85">
        <f t="shared" si="16"/>
        <v>0</v>
      </c>
      <c r="BD60" s="85">
        <f t="shared" si="16"/>
        <v>160</v>
      </c>
      <c r="BE60" s="85">
        <f t="shared" si="16"/>
        <v>80.92</v>
      </c>
    </row>
    <row r="61" spans="1:57">
      <c r="A61" s="85">
        <f>tblCities!A31</f>
        <v>29</v>
      </c>
      <c r="B61" s="85">
        <f>tblCities!B31</f>
        <v>0</v>
      </c>
      <c r="C61" s="85" t="str">
        <f>tblCities!C31</f>
        <v>Osaka</v>
      </c>
      <c r="D61" s="85">
        <f>tblCities!H30</f>
        <v>1</v>
      </c>
      <c r="E61" s="85">
        <f>tblCities!I30</f>
        <v>0</v>
      </c>
      <c r="F61" s="85">
        <f>tblCities!J30</f>
        <v>0</v>
      </c>
      <c r="N61" s="85">
        <f t="shared" si="17"/>
        <v>2</v>
      </c>
      <c r="O61" s="85">
        <f t="shared" si="17"/>
        <v>1</v>
      </c>
      <c r="P61" s="85">
        <f t="shared" si="17"/>
        <v>0</v>
      </c>
      <c r="Q61" s="85">
        <f t="shared" si="17"/>
        <v>1</v>
      </c>
      <c r="R61" s="85">
        <f t="shared" si="17"/>
        <v>100</v>
      </c>
      <c r="S61" s="85">
        <f t="shared" si="17"/>
        <v>1</v>
      </c>
      <c r="T61" s="85">
        <f t="shared" si="17"/>
        <v>1</v>
      </c>
      <c r="U61" s="85">
        <f t="shared" si="17"/>
        <v>1</v>
      </c>
      <c r="V61" s="85">
        <f t="shared" si="17"/>
        <v>0.8603</v>
      </c>
      <c r="W61" s="85">
        <f t="shared" si="17"/>
        <v>96.5</v>
      </c>
      <c r="X61" s="85">
        <f t="shared" si="17"/>
        <v>100</v>
      </c>
      <c r="Y61" s="85">
        <f t="shared" si="17"/>
        <v>10.3</v>
      </c>
      <c r="Z61" s="85">
        <f t="shared" si="17"/>
        <v>5</v>
      </c>
      <c r="AA61" s="85">
        <f t="shared" si="17"/>
        <v>100</v>
      </c>
      <c r="AB61" s="85">
        <f t="shared" si="17"/>
        <v>1</v>
      </c>
      <c r="AC61" s="85">
        <f t="shared" si="17"/>
        <v>9</v>
      </c>
      <c r="AD61" s="85">
        <f t="shared" si="18"/>
        <v>71.3</v>
      </c>
      <c r="AE61" s="85">
        <f t="shared" si="18"/>
        <v>83.2</v>
      </c>
      <c r="AF61" s="85">
        <f t="shared" si="18"/>
        <v>2.1</v>
      </c>
      <c r="AG61" s="85">
        <f t="shared" si="18"/>
        <v>291</v>
      </c>
      <c r="AH61" s="85">
        <f t="shared" si="18"/>
        <v>7.75</v>
      </c>
      <c r="AI61" s="85">
        <f t="shared" si="18"/>
        <v>5</v>
      </c>
      <c r="AJ61" s="85">
        <f t="shared" si="18"/>
        <v>1</v>
      </c>
      <c r="AK61" s="85">
        <f t="shared" si="18"/>
        <v>1</v>
      </c>
      <c r="AL61" s="85">
        <f t="shared" si="18"/>
        <v>1</v>
      </c>
      <c r="AM61" s="85">
        <f t="shared" si="18"/>
        <v>796.896551724138</v>
      </c>
      <c r="AN61" s="85">
        <f t="shared" si="18"/>
        <v>544</v>
      </c>
      <c r="AO61" s="85">
        <f t="shared" si="18"/>
        <v>1.3</v>
      </c>
      <c r="AP61" s="85">
        <f t="shared" si="18"/>
        <v>15.7</v>
      </c>
      <c r="AQ61" s="85">
        <f t="shared" si="18"/>
        <v>1</v>
      </c>
      <c r="AR61" s="85">
        <f t="shared" si="16"/>
        <v>1</v>
      </c>
      <c r="AS61" s="85">
        <f t="shared" si="16"/>
        <v>1</v>
      </c>
      <c r="AT61" s="85">
        <f t="shared" si="16"/>
        <v>1</v>
      </c>
      <c r="AU61" s="85">
        <f t="shared" si="16"/>
        <v>1</v>
      </c>
      <c r="AV61" s="85">
        <f t="shared" si="16"/>
        <v>1.5</v>
      </c>
      <c r="AW61" s="85">
        <f t="shared" si="16"/>
        <v>10</v>
      </c>
      <c r="AX61" s="85">
        <f t="shared" si="16"/>
        <v>2</v>
      </c>
      <c r="AY61" s="85">
        <f t="shared" si="16"/>
        <v>1</v>
      </c>
      <c r="AZ61" s="85">
        <f t="shared" si="16"/>
        <v>108.3</v>
      </c>
      <c r="BA61" s="85">
        <f t="shared" si="16"/>
        <v>78</v>
      </c>
      <c r="BB61" s="85">
        <f t="shared" si="16"/>
        <v>0.03</v>
      </c>
      <c r="BC61" s="85">
        <f t="shared" si="16"/>
        <v>0</v>
      </c>
      <c r="BD61" s="85">
        <f t="shared" si="16"/>
        <v>119</v>
      </c>
      <c r="BE61" s="85">
        <f t="shared" si="16"/>
        <v>95.03</v>
      </c>
    </row>
    <row r="62" spans="1:57">
      <c r="A62" s="85">
        <f>tblCities!A32</f>
        <v>30</v>
      </c>
      <c r="B62" s="85">
        <f>tblCities!B32</f>
        <v>0</v>
      </c>
      <c r="C62" s="85" t="str">
        <f>tblCities!C32</f>
        <v>Singapore</v>
      </c>
      <c r="D62" s="85">
        <f>tblCities!H31</f>
        <v>1</v>
      </c>
      <c r="E62" s="85">
        <f>tblCities!I31</f>
        <v>0</v>
      </c>
      <c r="F62" s="85">
        <f>tblCities!J31</f>
        <v>0</v>
      </c>
      <c r="N62" s="85">
        <f t="shared" si="17"/>
        <v>2</v>
      </c>
      <c r="O62" s="85">
        <f t="shared" si="17"/>
        <v>2</v>
      </c>
      <c r="P62" s="85">
        <f t="shared" si="17"/>
        <v>0</v>
      </c>
      <c r="Q62" s="85">
        <f t="shared" si="17"/>
        <v>2</v>
      </c>
      <c r="R62" s="85">
        <f t="shared" si="17"/>
        <v>100</v>
      </c>
      <c r="S62" s="85">
        <f t="shared" si="17"/>
        <v>2</v>
      </c>
      <c r="T62" s="85">
        <f t="shared" si="17"/>
        <v>7</v>
      </c>
      <c r="U62" s="85">
        <f t="shared" si="17"/>
        <v>1</v>
      </c>
      <c r="V62" s="85">
        <f t="shared" si="17"/>
        <v>0.73</v>
      </c>
      <c r="W62" s="85">
        <f t="shared" si="17"/>
        <v>97.5</v>
      </c>
      <c r="X62" s="85">
        <f t="shared" si="17"/>
        <v>87.5</v>
      </c>
      <c r="Y62" s="85">
        <f t="shared" si="17"/>
        <v>2</v>
      </c>
      <c r="Z62" s="85">
        <f t="shared" si="17"/>
        <v>1.6</v>
      </c>
      <c r="AA62" s="85">
        <f t="shared" si="17"/>
        <v>100</v>
      </c>
      <c r="AB62" s="85">
        <f t="shared" si="17"/>
        <v>1</v>
      </c>
      <c r="AC62" s="85">
        <f t="shared" si="17"/>
        <v>17</v>
      </c>
      <c r="AD62" s="85">
        <f t="shared" si="18"/>
        <v>78.8</v>
      </c>
      <c r="AE62" s="85">
        <f t="shared" si="18"/>
        <v>81.8</v>
      </c>
      <c r="AF62" s="85">
        <f t="shared" si="18"/>
        <v>2.7</v>
      </c>
      <c r="AG62" s="85">
        <f t="shared" si="18"/>
        <v>90.5</v>
      </c>
      <c r="AH62" s="85">
        <f t="shared" si="18"/>
        <v>8.25</v>
      </c>
      <c r="AI62" s="85">
        <f t="shared" si="18"/>
        <v>5</v>
      </c>
      <c r="AJ62" s="85">
        <f t="shared" si="18"/>
        <v>1</v>
      </c>
      <c r="AK62" s="85">
        <f t="shared" si="18"/>
        <v>1</v>
      </c>
      <c r="AL62" s="85">
        <f t="shared" si="18"/>
        <v>1</v>
      </c>
      <c r="AM62" s="85">
        <f t="shared" si="18"/>
        <v>6.85714285714286</v>
      </c>
      <c r="AN62" s="85">
        <f t="shared" si="18"/>
        <v>118</v>
      </c>
      <c r="AO62" s="85">
        <f t="shared" si="18"/>
        <v>0.8</v>
      </c>
      <c r="AP62" s="85">
        <f t="shared" si="18"/>
        <v>26</v>
      </c>
      <c r="AQ62" s="85">
        <f t="shared" si="18"/>
        <v>1</v>
      </c>
      <c r="AR62" s="85">
        <f t="shared" si="16"/>
        <v>1</v>
      </c>
      <c r="AS62" s="85">
        <f t="shared" si="16"/>
        <v>1</v>
      </c>
      <c r="AT62" s="85">
        <f t="shared" si="16"/>
        <v>1</v>
      </c>
      <c r="AU62" s="85">
        <f t="shared" si="16"/>
        <v>1</v>
      </c>
      <c r="AV62" s="85">
        <f t="shared" si="16"/>
        <v>1.5</v>
      </c>
      <c r="AW62" s="85">
        <f t="shared" si="16"/>
        <v>20</v>
      </c>
      <c r="AX62" s="85">
        <f t="shared" si="16"/>
        <v>1</v>
      </c>
      <c r="AY62" s="85">
        <f t="shared" si="16"/>
        <v>1</v>
      </c>
      <c r="AZ62" s="85">
        <f t="shared" si="16"/>
        <v>0.27</v>
      </c>
      <c r="BA62" s="85">
        <f t="shared" si="16"/>
        <v>93</v>
      </c>
      <c r="BB62" s="85">
        <f t="shared" si="16"/>
        <v>0.01</v>
      </c>
      <c r="BC62" s="85">
        <f t="shared" si="16"/>
        <v>0</v>
      </c>
      <c r="BD62" s="85">
        <f t="shared" si="16"/>
        <v>120</v>
      </c>
      <c r="BE62" s="85">
        <f t="shared" si="16"/>
        <v>81.98</v>
      </c>
    </row>
    <row r="63" spans="1:57">
      <c r="A63" s="85">
        <f>tblCities!A33</f>
        <v>31</v>
      </c>
      <c r="B63" s="85">
        <f>tblCities!B33</f>
        <v>0</v>
      </c>
      <c r="C63" s="85" t="str">
        <f>tblCities!C33</f>
        <v>Seoul</v>
      </c>
      <c r="D63" s="85">
        <f>tblCities!H32</f>
        <v>1</v>
      </c>
      <c r="E63" s="85">
        <f>tblCities!I32</f>
        <v>0</v>
      </c>
      <c r="F63" s="85">
        <f>tblCities!J32</f>
        <v>0</v>
      </c>
      <c r="N63" s="85">
        <f t="shared" si="17"/>
        <v>4</v>
      </c>
      <c r="O63" s="85">
        <f t="shared" si="17"/>
        <v>2</v>
      </c>
      <c r="P63" s="85">
        <f t="shared" si="17"/>
        <v>0</v>
      </c>
      <c r="Q63" s="85">
        <f t="shared" si="17"/>
        <v>1</v>
      </c>
      <c r="R63" s="85">
        <f t="shared" si="17"/>
        <v>100</v>
      </c>
      <c r="S63" s="85">
        <f t="shared" si="17"/>
        <v>1</v>
      </c>
      <c r="T63" s="85">
        <f t="shared" si="17"/>
        <v>25</v>
      </c>
      <c r="U63" s="85">
        <f t="shared" si="17"/>
        <v>3</v>
      </c>
      <c r="V63" s="85">
        <f t="shared" si="17"/>
        <v>0.832</v>
      </c>
      <c r="W63" s="85">
        <f t="shared" si="17"/>
        <v>93.1</v>
      </c>
      <c r="X63" s="85">
        <f t="shared" si="17"/>
        <v>83.3</v>
      </c>
      <c r="Y63" s="85">
        <f t="shared" si="17"/>
        <v>4.8</v>
      </c>
      <c r="Z63" s="85">
        <f t="shared" si="17"/>
        <v>3.49</v>
      </c>
      <c r="AA63" s="85">
        <f t="shared" si="17"/>
        <v>92.7</v>
      </c>
      <c r="AB63" s="85">
        <f t="shared" si="17"/>
        <v>1.5</v>
      </c>
      <c r="AC63" s="85">
        <f t="shared" si="17"/>
        <v>22</v>
      </c>
      <c r="AD63" s="85">
        <f t="shared" si="18"/>
        <v>73.2</v>
      </c>
      <c r="AE63" s="85">
        <f t="shared" si="18"/>
        <v>83.06</v>
      </c>
      <c r="AF63" s="85">
        <f t="shared" si="18"/>
        <v>4.77</v>
      </c>
      <c r="AG63" s="85">
        <f t="shared" si="18"/>
        <v>119.6</v>
      </c>
      <c r="AH63" s="85">
        <f t="shared" si="18"/>
        <v>7.25</v>
      </c>
      <c r="AI63" s="85">
        <f t="shared" si="18"/>
        <v>5</v>
      </c>
      <c r="AJ63" s="85">
        <f t="shared" si="18"/>
        <v>2</v>
      </c>
      <c r="AK63" s="85">
        <f t="shared" si="18"/>
        <v>1</v>
      </c>
      <c r="AL63" s="85">
        <f t="shared" si="18"/>
        <v>2</v>
      </c>
      <c r="AM63" s="85">
        <f t="shared" si="18"/>
        <v>2.84313725490196</v>
      </c>
      <c r="AN63" s="85">
        <f t="shared" si="18"/>
        <v>400.28</v>
      </c>
      <c r="AO63" s="85">
        <f t="shared" si="18"/>
        <v>1.6</v>
      </c>
      <c r="AP63" s="85">
        <f t="shared" si="18"/>
        <v>15</v>
      </c>
      <c r="AQ63" s="85">
        <f t="shared" si="18"/>
        <v>0.5</v>
      </c>
      <c r="AR63" s="85">
        <f t="shared" si="16"/>
        <v>1</v>
      </c>
      <c r="AS63" s="85">
        <f t="shared" si="16"/>
        <v>0</v>
      </c>
      <c r="AT63" s="85">
        <f t="shared" si="16"/>
        <v>1</v>
      </c>
      <c r="AU63" s="85">
        <f t="shared" si="16"/>
        <v>1</v>
      </c>
      <c r="AV63" s="85">
        <f t="shared" si="16"/>
        <v>2</v>
      </c>
      <c r="AW63" s="85">
        <f t="shared" si="16"/>
        <v>40</v>
      </c>
      <c r="AX63" s="85">
        <f t="shared" si="16"/>
        <v>2</v>
      </c>
      <c r="AY63" s="85">
        <f t="shared" si="16"/>
        <v>1</v>
      </c>
      <c r="AZ63" s="85">
        <f t="shared" si="16"/>
        <v>26.2</v>
      </c>
      <c r="BA63" s="85">
        <f t="shared" si="16"/>
        <v>54</v>
      </c>
      <c r="BB63" s="85">
        <f t="shared" si="16"/>
        <v>0.1</v>
      </c>
      <c r="BC63" s="85">
        <f t="shared" si="16"/>
        <v>0.1</v>
      </c>
      <c r="BD63" s="85">
        <f t="shared" si="16"/>
        <v>22034</v>
      </c>
      <c r="BE63" s="85">
        <f t="shared" si="16"/>
        <v>80.5</v>
      </c>
    </row>
    <row r="64" spans="1:57">
      <c r="A64" s="85">
        <f>tblCities!A34</f>
        <v>32</v>
      </c>
      <c r="B64" s="85">
        <f>tblCities!B34</f>
        <v>0</v>
      </c>
      <c r="C64" s="85" t="str">
        <f>tblCities!C34</f>
        <v>Taipei</v>
      </c>
      <c r="D64" s="85">
        <f>tblCities!H33</f>
        <v>1</v>
      </c>
      <c r="E64" s="85">
        <f>tblCities!I33</f>
        <v>0</v>
      </c>
      <c r="F64" s="85">
        <f>tblCities!J33</f>
        <v>0</v>
      </c>
      <c r="N64" s="85">
        <f t="shared" si="17"/>
        <v>2</v>
      </c>
      <c r="O64" s="85">
        <f t="shared" si="17"/>
        <v>1</v>
      </c>
      <c r="P64" s="85">
        <f t="shared" si="17"/>
        <v>0</v>
      </c>
      <c r="Q64" s="85">
        <f t="shared" si="17"/>
        <v>0</v>
      </c>
      <c r="R64" s="85">
        <f t="shared" si="17"/>
        <v>100</v>
      </c>
      <c r="S64" s="85">
        <f t="shared" si="17"/>
        <v>1</v>
      </c>
      <c r="T64" s="85">
        <f t="shared" si="17"/>
        <v>0.5</v>
      </c>
      <c r="U64" s="85">
        <f t="shared" si="17"/>
        <v>2</v>
      </c>
      <c r="V64" s="85">
        <f t="shared" si="17"/>
        <v>0.7</v>
      </c>
      <c r="W64" s="85">
        <f t="shared" si="17"/>
        <v>93.1</v>
      </c>
      <c r="X64" s="85">
        <f t="shared" si="17"/>
        <v>83</v>
      </c>
      <c r="Y64" s="85">
        <f t="shared" si="17"/>
        <v>8.2</v>
      </c>
      <c r="Z64" s="85">
        <f t="shared" si="17"/>
        <v>17.7</v>
      </c>
      <c r="AA64" s="85">
        <f t="shared" si="17"/>
        <v>90.9</v>
      </c>
      <c r="AB64" s="85">
        <f t="shared" si="17"/>
        <v>1.5</v>
      </c>
      <c r="AC64" s="85">
        <f t="shared" si="17"/>
        <v>41</v>
      </c>
      <c r="AD64" s="85">
        <f t="shared" si="18"/>
        <v>62.9</v>
      </c>
      <c r="AE64" s="85">
        <f t="shared" si="18"/>
        <v>82.66</v>
      </c>
      <c r="AF64" s="85">
        <f t="shared" si="18"/>
        <v>3.77</v>
      </c>
      <c r="AG64" s="85">
        <f t="shared" si="18"/>
        <v>193.01</v>
      </c>
      <c r="AH64" s="85">
        <f t="shared" si="18"/>
        <v>0</v>
      </c>
      <c r="AI64" s="85">
        <f t="shared" si="18"/>
        <v>5</v>
      </c>
      <c r="AJ64" s="85">
        <f t="shared" si="18"/>
        <v>2</v>
      </c>
      <c r="AK64" s="85">
        <f t="shared" si="18"/>
        <v>2</v>
      </c>
      <c r="AL64" s="85">
        <f t="shared" si="18"/>
        <v>2</v>
      </c>
      <c r="AM64" s="85">
        <f t="shared" si="18"/>
        <v>34.2307692307692</v>
      </c>
      <c r="AN64" s="85">
        <f t="shared" si="18"/>
        <v>762.38</v>
      </c>
      <c r="AO64" s="85">
        <f t="shared" si="18"/>
        <v>0.9</v>
      </c>
      <c r="AP64" s="85">
        <f t="shared" si="18"/>
        <v>2</v>
      </c>
      <c r="AQ64" s="85">
        <f t="shared" si="18"/>
        <v>1</v>
      </c>
      <c r="AR64" s="85">
        <f t="shared" si="16"/>
        <v>1</v>
      </c>
      <c r="AS64" s="85">
        <f t="shared" si="16"/>
        <v>1</v>
      </c>
      <c r="AT64" s="85">
        <f t="shared" si="16"/>
        <v>1</v>
      </c>
      <c r="AU64" s="85">
        <f t="shared" si="16"/>
        <v>1</v>
      </c>
      <c r="AV64" s="85">
        <f t="shared" si="16"/>
        <v>1</v>
      </c>
      <c r="AW64" s="85">
        <f t="shared" si="16"/>
        <v>30</v>
      </c>
      <c r="AX64" s="85">
        <f t="shared" si="16"/>
        <v>2</v>
      </c>
      <c r="AY64" s="85">
        <f t="shared" si="16"/>
        <v>2</v>
      </c>
      <c r="AZ64" s="85">
        <f t="shared" si="16"/>
        <v>2.61</v>
      </c>
      <c r="BA64" s="85">
        <f t="shared" si="16"/>
        <v>58</v>
      </c>
      <c r="BB64" s="85">
        <f t="shared" si="16"/>
        <v>0.1</v>
      </c>
      <c r="BC64" s="85">
        <f t="shared" si="16"/>
        <v>0.2</v>
      </c>
      <c r="BD64" s="85">
        <f t="shared" si="16"/>
        <v>16058</v>
      </c>
      <c r="BE64" s="85">
        <f t="shared" si="16"/>
        <v>79.1</v>
      </c>
    </row>
    <row r="65" spans="1:57">
      <c r="A65" s="85">
        <f>tblCities!A35</f>
        <v>33</v>
      </c>
      <c r="B65" s="85">
        <f>tblCities!B35</f>
        <v>0</v>
      </c>
      <c r="C65" s="85" t="str">
        <f>tblCities!C35</f>
        <v>Bangkok</v>
      </c>
      <c r="D65" s="85">
        <f>tblCities!H34</f>
        <v>1</v>
      </c>
      <c r="E65" s="85">
        <f>tblCities!I34</f>
        <v>0</v>
      </c>
      <c r="F65" s="85">
        <f>tblCities!J34</f>
        <v>1</v>
      </c>
      <c r="N65" s="85">
        <f t="shared" si="17"/>
        <v>1</v>
      </c>
      <c r="O65" s="85">
        <f t="shared" si="17"/>
        <v>1</v>
      </c>
      <c r="P65" s="85">
        <f t="shared" si="17"/>
        <v>0</v>
      </c>
      <c r="Q65" s="85">
        <f t="shared" si="17"/>
        <v>1</v>
      </c>
      <c r="R65" s="85">
        <f t="shared" si="17"/>
        <v>75</v>
      </c>
      <c r="S65" s="85">
        <f t="shared" si="17"/>
        <v>1</v>
      </c>
      <c r="T65" s="85">
        <f t="shared" si="17"/>
        <v>0.5</v>
      </c>
      <c r="U65" s="85">
        <f t="shared" si="17"/>
        <v>4</v>
      </c>
      <c r="V65" s="85">
        <f t="shared" si="17"/>
        <v>0.2576</v>
      </c>
      <c r="W65" s="85">
        <f t="shared" si="17"/>
        <v>93.1</v>
      </c>
      <c r="X65" s="85">
        <f t="shared" si="17"/>
        <v>62.5</v>
      </c>
      <c r="Y65" s="85">
        <f t="shared" si="17"/>
        <v>3.76</v>
      </c>
      <c r="Z65" s="85">
        <f t="shared" si="17"/>
        <v>0.3</v>
      </c>
      <c r="AA65" s="85">
        <f t="shared" si="17"/>
        <v>97.2</v>
      </c>
      <c r="AB65" s="85">
        <f t="shared" si="17"/>
        <v>2.5</v>
      </c>
      <c r="AC65" s="85">
        <f t="shared" si="17"/>
        <v>20</v>
      </c>
      <c r="AD65" s="85">
        <f t="shared" si="18"/>
        <v>48.5</v>
      </c>
      <c r="AE65" s="85">
        <f t="shared" si="18"/>
        <v>73.9</v>
      </c>
      <c r="AF65" s="85">
        <f t="shared" si="18"/>
        <v>7.1</v>
      </c>
      <c r="AG65" s="85">
        <f t="shared" si="18"/>
        <v>145.1</v>
      </c>
      <c r="AH65" s="85">
        <f t="shared" si="18"/>
        <v>5</v>
      </c>
      <c r="AI65" s="85">
        <f t="shared" si="18"/>
        <v>0</v>
      </c>
      <c r="AJ65" s="85">
        <f t="shared" si="18"/>
        <v>4</v>
      </c>
      <c r="AK65" s="85">
        <f t="shared" si="18"/>
        <v>1</v>
      </c>
      <c r="AL65" s="85">
        <f t="shared" si="18"/>
        <v>2</v>
      </c>
      <c r="AM65" s="85">
        <f t="shared" si="18"/>
        <v>72.3571428571429</v>
      </c>
      <c r="AN65" s="85">
        <f t="shared" si="18"/>
        <v>315</v>
      </c>
      <c r="AO65" s="85">
        <f t="shared" si="18"/>
        <v>1.45</v>
      </c>
      <c r="AP65" s="85">
        <f t="shared" si="18"/>
        <v>27</v>
      </c>
      <c r="AQ65" s="85">
        <f t="shared" si="18"/>
        <v>0.5</v>
      </c>
      <c r="AR65" s="85">
        <f t="shared" si="16"/>
        <v>1</v>
      </c>
      <c r="AS65" s="85">
        <f t="shared" si="16"/>
        <v>1</v>
      </c>
      <c r="AT65" s="85">
        <f t="shared" si="16"/>
        <v>1</v>
      </c>
      <c r="AU65" s="85">
        <f t="shared" si="16"/>
        <v>1</v>
      </c>
      <c r="AV65" s="85">
        <f t="shared" si="16"/>
        <v>4.2</v>
      </c>
      <c r="AW65" s="85">
        <f t="shared" si="16"/>
        <v>65</v>
      </c>
      <c r="AX65" s="85">
        <f t="shared" si="16"/>
        <v>3</v>
      </c>
      <c r="AY65" s="85">
        <f t="shared" si="16"/>
        <v>2</v>
      </c>
      <c r="AZ65" s="85">
        <f t="shared" si="16"/>
        <v>13.95</v>
      </c>
      <c r="BA65" s="85">
        <f t="shared" si="16"/>
        <v>35</v>
      </c>
      <c r="BB65" s="85">
        <f t="shared" si="16"/>
        <v>0.1</v>
      </c>
      <c r="BC65" s="85">
        <f t="shared" si="16"/>
        <v>8.6</v>
      </c>
      <c r="BD65" s="85">
        <f t="shared" si="16"/>
        <v>3431</v>
      </c>
      <c r="BE65" s="85">
        <f t="shared" si="16"/>
        <v>63.85</v>
      </c>
    </row>
    <row r="66" spans="1:57">
      <c r="A66" s="85">
        <f>tblCities!A36</f>
        <v>34</v>
      </c>
      <c r="B66" s="85">
        <f>tblCities!B36</f>
        <v>0</v>
      </c>
      <c r="C66" s="85" t="str">
        <f>tblCities!C36</f>
        <v>Ho Chi Minh</v>
      </c>
      <c r="D66" s="85">
        <f>tblCities!H35</f>
        <v>1</v>
      </c>
      <c r="E66" s="85">
        <f>tblCities!I35</f>
        <v>0</v>
      </c>
      <c r="F66" s="85">
        <f>tblCities!J35</f>
        <v>1</v>
      </c>
      <c r="N66" s="85">
        <f t="shared" si="17"/>
        <v>1</v>
      </c>
      <c r="O66" s="85">
        <f t="shared" si="17"/>
        <v>1</v>
      </c>
      <c r="P66" s="85">
        <f t="shared" si="17"/>
        <v>0</v>
      </c>
      <c r="Q66" s="85">
        <f t="shared" si="17"/>
        <v>1</v>
      </c>
      <c r="R66" s="85">
        <f t="shared" si="17"/>
        <v>75</v>
      </c>
      <c r="S66" s="85">
        <f t="shared" si="17"/>
        <v>1</v>
      </c>
      <c r="T66" s="85">
        <f t="shared" si="17"/>
        <v>0.5</v>
      </c>
      <c r="U66" s="85">
        <f t="shared" si="17"/>
        <v>5</v>
      </c>
      <c r="V66" s="85">
        <f t="shared" si="17"/>
        <v>0.5</v>
      </c>
      <c r="W66" s="85">
        <f t="shared" si="17"/>
        <v>43.9</v>
      </c>
      <c r="X66" s="85">
        <f t="shared" si="17"/>
        <v>50</v>
      </c>
      <c r="Y66" s="85">
        <f t="shared" si="17"/>
        <v>3.8</v>
      </c>
      <c r="Z66" s="85">
        <f t="shared" si="17"/>
        <v>1.22</v>
      </c>
      <c r="AA66" s="85">
        <f t="shared" si="17"/>
        <v>83.8</v>
      </c>
      <c r="AB66" s="85">
        <f t="shared" si="17"/>
        <v>3.5</v>
      </c>
      <c r="AC66" s="85">
        <f t="shared" si="17"/>
        <v>27</v>
      </c>
      <c r="AD66" s="85">
        <f t="shared" si="18"/>
        <v>55.2</v>
      </c>
      <c r="AE66" s="85">
        <f t="shared" si="18"/>
        <v>72.65</v>
      </c>
      <c r="AF66" s="85">
        <f t="shared" si="18"/>
        <v>20.24</v>
      </c>
      <c r="AG66" s="85">
        <f t="shared" si="18"/>
        <v>108.65</v>
      </c>
      <c r="AH66" s="85">
        <f t="shared" si="18"/>
        <v>0</v>
      </c>
      <c r="AI66" s="85">
        <f t="shared" si="18"/>
        <v>0</v>
      </c>
      <c r="AJ66" s="85">
        <f t="shared" si="18"/>
        <v>4</v>
      </c>
      <c r="AK66" s="85">
        <f t="shared" si="18"/>
        <v>3</v>
      </c>
      <c r="AL66" s="85">
        <f t="shared" si="18"/>
        <v>3</v>
      </c>
      <c r="AM66" s="85">
        <f t="shared" si="18"/>
        <v>32.1111111111111</v>
      </c>
      <c r="AN66" s="85">
        <f t="shared" si="18"/>
        <v>32.5</v>
      </c>
      <c r="AO66" s="85">
        <f t="shared" si="18"/>
        <v>0.82</v>
      </c>
      <c r="AP66" s="85">
        <f t="shared" si="18"/>
        <v>35.2</v>
      </c>
      <c r="AQ66" s="85">
        <f t="shared" si="18"/>
        <v>0.5</v>
      </c>
      <c r="AR66" s="85">
        <f t="shared" si="16"/>
        <v>1</v>
      </c>
      <c r="AS66" s="85">
        <f t="shared" si="16"/>
        <v>0</v>
      </c>
      <c r="AT66" s="85">
        <f t="shared" si="16"/>
        <v>0</v>
      </c>
      <c r="AU66" s="85">
        <f t="shared" si="16"/>
        <v>1</v>
      </c>
      <c r="AV66" s="85">
        <f t="shared" si="16"/>
        <v>0.5</v>
      </c>
      <c r="AW66" s="85">
        <f t="shared" si="16"/>
        <v>50</v>
      </c>
      <c r="AX66" s="85">
        <f t="shared" si="16"/>
        <v>4</v>
      </c>
      <c r="AY66" s="85">
        <f t="shared" si="16"/>
        <v>3</v>
      </c>
      <c r="AZ66" s="85">
        <f t="shared" si="16"/>
        <v>0.82</v>
      </c>
      <c r="BA66" s="85">
        <f t="shared" si="16"/>
        <v>27</v>
      </c>
      <c r="BB66" s="85">
        <f t="shared" si="16"/>
        <v>0.1</v>
      </c>
      <c r="BC66" s="85">
        <f t="shared" si="16"/>
        <v>0</v>
      </c>
      <c r="BD66" s="85">
        <f t="shared" si="16"/>
        <v>1273.21</v>
      </c>
      <c r="BE66" s="85">
        <f t="shared" si="16"/>
        <v>52.23</v>
      </c>
    </row>
    <row r="67" spans="1:57">
      <c r="A67" s="85">
        <f>tblCities!A37</f>
        <v>35</v>
      </c>
      <c r="B67" s="85">
        <f>tblCities!B37</f>
        <v>0</v>
      </c>
      <c r="C67" s="85" t="str">
        <f>tblCities!C37</f>
        <v>Kuwait City</v>
      </c>
      <c r="D67" s="85">
        <f>tblCities!H36</f>
        <v>1</v>
      </c>
      <c r="E67" s="85">
        <f>tblCities!I36</f>
        <v>1</v>
      </c>
      <c r="F67" s="85">
        <f>tblCities!J36</f>
        <v>0</v>
      </c>
      <c r="N67" s="85">
        <f t="shared" si="17"/>
        <v>2</v>
      </c>
      <c r="O67" s="85">
        <f t="shared" si="17"/>
        <v>1</v>
      </c>
      <c r="P67" s="85">
        <f t="shared" si="17"/>
        <v>0</v>
      </c>
      <c r="Q67" s="85">
        <f t="shared" si="17"/>
        <v>1</v>
      </c>
      <c r="R67" s="85">
        <f t="shared" si="17"/>
        <v>75</v>
      </c>
      <c r="S67" s="85">
        <f t="shared" si="17"/>
        <v>1</v>
      </c>
      <c r="T67" s="85">
        <f t="shared" si="17"/>
        <v>0.5</v>
      </c>
      <c r="U67" s="85">
        <f t="shared" si="17"/>
        <v>3</v>
      </c>
      <c r="V67" s="85">
        <f t="shared" si="17"/>
        <v>0.74</v>
      </c>
      <c r="W67" s="85">
        <f t="shared" si="17"/>
        <v>22</v>
      </c>
      <c r="X67" s="85">
        <f t="shared" si="17"/>
        <v>71</v>
      </c>
      <c r="Y67" s="85">
        <f t="shared" si="17"/>
        <v>2.2</v>
      </c>
      <c r="Z67" s="85">
        <f t="shared" si="17"/>
        <v>2.17</v>
      </c>
      <c r="AA67" s="85">
        <f t="shared" si="17"/>
        <v>99.4</v>
      </c>
      <c r="AB67" s="85">
        <f t="shared" si="17"/>
        <v>1.5</v>
      </c>
      <c r="AC67" s="85">
        <f t="shared" si="17"/>
        <v>60</v>
      </c>
      <c r="AD67" s="85">
        <f t="shared" si="18"/>
        <v>59</v>
      </c>
      <c r="AE67" s="85">
        <f t="shared" si="18"/>
        <v>77.64</v>
      </c>
      <c r="AF67" s="85">
        <f t="shared" si="18"/>
        <v>7.51</v>
      </c>
      <c r="AG67" s="85">
        <f t="shared" si="18"/>
        <v>54.75</v>
      </c>
      <c r="AH67" s="85">
        <f t="shared" si="18"/>
        <v>3</v>
      </c>
      <c r="AI67" s="85">
        <f t="shared" si="18"/>
        <v>0</v>
      </c>
      <c r="AJ67" s="85">
        <f t="shared" si="18"/>
        <v>2</v>
      </c>
      <c r="AK67" s="85">
        <f t="shared" si="18"/>
        <v>1</v>
      </c>
      <c r="AL67" s="85">
        <f t="shared" si="18"/>
        <v>2</v>
      </c>
      <c r="AM67" s="85">
        <f t="shared" si="18"/>
        <v>0</v>
      </c>
      <c r="AN67" s="85">
        <f t="shared" si="18"/>
        <v>1033.15</v>
      </c>
      <c r="AO67" s="85">
        <f t="shared" si="18"/>
        <v>9.1</v>
      </c>
      <c r="AP67" s="85">
        <f t="shared" si="18"/>
        <v>5</v>
      </c>
      <c r="AQ67" s="85">
        <f t="shared" si="18"/>
        <v>1</v>
      </c>
      <c r="AR67" s="85">
        <f t="shared" si="16"/>
        <v>0</v>
      </c>
      <c r="AS67" s="85">
        <f t="shared" si="16"/>
        <v>0</v>
      </c>
      <c r="AT67" s="85">
        <f t="shared" si="16"/>
        <v>0</v>
      </c>
      <c r="AU67" s="85">
        <f t="shared" si="16"/>
        <v>0</v>
      </c>
      <c r="AV67" s="85">
        <f t="shared" si="16"/>
        <v>0.8</v>
      </c>
      <c r="AW67" s="85">
        <f t="shared" si="16"/>
        <v>60</v>
      </c>
      <c r="AX67" s="85">
        <f t="shared" si="16"/>
        <v>2</v>
      </c>
      <c r="AY67" s="85">
        <f t="shared" si="16"/>
        <v>1</v>
      </c>
      <c r="AZ67" s="85">
        <f t="shared" si="16"/>
        <v>1.41</v>
      </c>
      <c r="BA67" s="85">
        <f t="shared" si="16"/>
        <v>45</v>
      </c>
      <c r="BB67" s="85">
        <f t="shared" si="16"/>
        <v>0.1</v>
      </c>
      <c r="BC67" s="85">
        <f t="shared" si="16"/>
        <v>0</v>
      </c>
      <c r="BD67" s="85">
        <f t="shared" si="16"/>
        <v>119</v>
      </c>
      <c r="BE67" s="85">
        <f t="shared" si="16"/>
        <v>57.02</v>
      </c>
    </row>
    <row r="68" spans="1:57">
      <c r="A68" s="85">
        <f>tblCities!A38</f>
        <v>36</v>
      </c>
      <c r="B68" s="85">
        <f>tblCities!B38</f>
        <v>0</v>
      </c>
      <c r="C68" s="85" t="str">
        <f>tblCities!C38</f>
        <v>Doha</v>
      </c>
      <c r="D68" s="85">
        <f>tblCities!H37</f>
        <v>1</v>
      </c>
      <c r="E68" s="85">
        <f>tblCities!I37</f>
        <v>0</v>
      </c>
      <c r="F68" s="85">
        <f>tblCities!J37</f>
        <v>0</v>
      </c>
      <c r="N68" s="85">
        <f t="shared" si="17"/>
        <v>3</v>
      </c>
      <c r="O68" s="85">
        <f t="shared" si="17"/>
        <v>1</v>
      </c>
      <c r="P68" s="85">
        <f t="shared" si="17"/>
        <v>0</v>
      </c>
      <c r="Q68" s="85">
        <f t="shared" si="17"/>
        <v>0</v>
      </c>
      <c r="R68" s="85">
        <f t="shared" si="17"/>
        <v>75</v>
      </c>
      <c r="S68" s="85">
        <f t="shared" si="17"/>
        <v>1</v>
      </c>
      <c r="T68" s="85">
        <f t="shared" si="17"/>
        <v>0.5</v>
      </c>
      <c r="U68" s="85">
        <f t="shared" si="17"/>
        <v>3</v>
      </c>
      <c r="V68" s="85">
        <f t="shared" si="17"/>
        <v>0.82</v>
      </c>
      <c r="W68" s="85">
        <f t="shared" si="17"/>
        <v>36</v>
      </c>
      <c r="X68" s="85">
        <f t="shared" si="17"/>
        <v>71</v>
      </c>
      <c r="Y68" s="85">
        <f t="shared" si="17"/>
        <v>1.2</v>
      </c>
      <c r="Z68" s="85">
        <f t="shared" si="17"/>
        <v>8.34</v>
      </c>
      <c r="AA68" s="85">
        <f t="shared" si="17"/>
        <v>98</v>
      </c>
      <c r="AB68" s="85">
        <f t="shared" si="17"/>
        <v>2</v>
      </c>
      <c r="AC68" s="85">
        <f t="shared" si="17"/>
        <v>93</v>
      </c>
      <c r="AD68" s="85">
        <f t="shared" si="18"/>
        <v>35</v>
      </c>
      <c r="AE68" s="85">
        <f t="shared" si="18"/>
        <v>78.28</v>
      </c>
      <c r="AF68" s="85">
        <f t="shared" si="18"/>
        <v>6.42</v>
      </c>
      <c r="AG68" s="85">
        <f t="shared" si="18"/>
        <v>69.39</v>
      </c>
      <c r="AH68" s="85">
        <f t="shared" si="18"/>
        <v>7</v>
      </c>
      <c r="AI68" s="85">
        <f t="shared" si="18"/>
        <v>0</v>
      </c>
      <c r="AJ68" s="85">
        <f t="shared" si="18"/>
        <v>2</v>
      </c>
      <c r="AK68" s="85">
        <f t="shared" si="18"/>
        <v>2</v>
      </c>
      <c r="AL68" s="85">
        <f t="shared" si="18"/>
        <v>1</v>
      </c>
      <c r="AM68" s="85">
        <f t="shared" si="18"/>
        <v>0</v>
      </c>
      <c r="AN68" s="85">
        <f t="shared" si="18"/>
        <v>222</v>
      </c>
      <c r="AO68" s="85">
        <f t="shared" si="18"/>
        <v>4.2</v>
      </c>
      <c r="AP68" s="85">
        <f t="shared" si="18"/>
        <v>19.5</v>
      </c>
      <c r="AQ68" s="85">
        <f t="shared" si="18"/>
        <v>0.5</v>
      </c>
      <c r="AR68" s="85">
        <f t="shared" si="16"/>
        <v>1</v>
      </c>
      <c r="AS68" s="85">
        <f t="shared" si="16"/>
        <v>1</v>
      </c>
      <c r="AT68" s="85">
        <f t="shared" si="16"/>
        <v>1</v>
      </c>
      <c r="AU68" s="85">
        <f t="shared" si="16"/>
        <v>1</v>
      </c>
      <c r="AV68" s="85">
        <f t="shared" si="16"/>
        <v>3</v>
      </c>
      <c r="AW68" s="85">
        <f t="shared" si="16"/>
        <v>40</v>
      </c>
      <c r="AX68" s="85">
        <f t="shared" si="16"/>
        <v>2</v>
      </c>
      <c r="AY68" s="85">
        <f t="shared" si="16"/>
        <v>1</v>
      </c>
      <c r="AZ68" s="85">
        <f t="shared" si="16"/>
        <v>0</v>
      </c>
      <c r="BA68" s="85">
        <f t="shared" si="16"/>
        <v>77</v>
      </c>
      <c r="BB68" s="85">
        <f t="shared" si="16"/>
        <v>0.06</v>
      </c>
      <c r="BC68" s="85">
        <f t="shared" si="16"/>
        <v>0.1</v>
      </c>
      <c r="BD68" s="85">
        <f t="shared" si="16"/>
        <v>13</v>
      </c>
      <c r="BE68" s="85">
        <f t="shared" si="16"/>
        <v>78.09</v>
      </c>
    </row>
    <row r="69" spans="1:57">
      <c r="A69" s="85">
        <f>tblCities!A39</f>
        <v>37</v>
      </c>
      <c r="B69" s="85">
        <f>tblCities!B39</f>
        <v>0</v>
      </c>
      <c r="C69" s="85" t="str">
        <f>tblCities!C39</f>
        <v>Riyadh</v>
      </c>
      <c r="D69" s="85">
        <f>tblCities!H38</f>
        <v>1</v>
      </c>
      <c r="E69" s="85">
        <f>tblCities!I38</f>
        <v>0</v>
      </c>
      <c r="F69" s="85">
        <f>tblCities!J38</f>
        <v>0</v>
      </c>
      <c r="N69" s="85">
        <f t="shared" si="17"/>
        <v>2</v>
      </c>
      <c r="O69" s="85">
        <f t="shared" si="17"/>
        <v>1</v>
      </c>
      <c r="P69" s="85">
        <f t="shared" si="17"/>
        <v>0</v>
      </c>
      <c r="Q69" s="85">
        <f t="shared" si="17"/>
        <v>1</v>
      </c>
      <c r="R69" s="85">
        <f t="shared" si="17"/>
        <v>75</v>
      </c>
      <c r="S69" s="85">
        <f t="shared" si="17"/>
        <v>1</v>
      </c>
      <c r="T69" s="85">
        <f t="shared" si="17"/>
        <v>5</v>
      </c>
      <c r="U69" s="85">
        <f t="shared" si="17"/>
        <v>4</v>
      </c>
      <c r="V69" s="85">
        <f t="shared" si="17"/>
        <v>0.541</v>
      </c>
      <c r="W69" s="85">
        <f t="shared" si="17"/>
        <v>22</v>
      </c>
      <c r="X69" s="85">
        <f t="shared" si="17"/>
        <v>67</v>
      </c>
      <c r="Y69" s="85">
        <f t="shared" si="17"/>
        <v>2.21</v>
      </c>
      <c r="Z69" s="85">
        <f t="shared" si="17"/>
        <v>2.2</v>
      </c>
      <c r="AA69" s="85">
        <f t="shared" si="17"/>
        <v>98.2</v>
      </c>
      <c r="AB69" s="85">
        <f t="shared" si="17"/>
        <v>2.5</v>
      </c>
      <c r="AC69" s="85">
        <f t="shared" si="17"/>
        <v>28</v>
      </c>
      <c r="AD69" s="85">
        <f t="shared" si="18"/>
        <v>48</v>
      </c>
      <c r="AE69" s="85">
        <f t="shared" si="18"/>
        <v>75</v>
      </c>
      <c r="AF69" s="85">
        <f t="shared" si="18"/>
        <v>15.61</v>
      </c>
      <c r="AG69" s="85">
        <f t="shared" si="18"/>
        <v>53.85</v>
      </c>
      <c r="AH69" s="85">
        <f t="shared" si="18"/>
        <v>6.75</v>
      </c>
      <c r="AI69" s="85">
        <f t="shared" si="18"/>
        <v>0</v>
      </c>
      <c r="AJ69" s="85">
        <f t="shared" si="18"/>
        <v>3</v>
      </c>
      <c r="AK69" s="85">
        <f t="shared" si="18"/>
        <v>2</v>
      </c>
      <c r="AL69" s="85">
        <f t="shared" si="18"/>
        <v>3</v>
      </c>
      <c r="AM69" s="85">
        <f t="shared" si="18"/>
        <v>0.642857142857143</v>
      </c>
      <c r="AN69" s="85">
        <f t="shared" si="18"/>
        <v>2291</v>
      </c>
      <c r="AO69" s="85">
        <f t="shared" si="18"/>
        <v>2.8</v>
      </c>
      <c r="AP69" s="85">
        <f t="shared" si="18"/>
        <v>18</v>
      </c>
      <c r="AQ69" s="85">
        <f t="shared" si="18"/>
        <v>1</v>
      </c>
      <c r="AR69" s="85">
        <f t="shared" si="16"/>
        <v>0</v>
      </c>
      <c r="AS69" s="85">
        <f t="shared" si="16"/>
        <v>0</v>
      </c>
      <c r="AT69" s="85">
        <f t="shared" si="16"/>
        <v>1</v>
      </c>
      <c r="AU69" s="85">
        <f t="shared" si="16"/>
        <v>0</v>
      </c>
      <c r="AV69" s="85">
        <f t="shared" si="16"/>
        <v>6.5</v>
      </c>
      <c r="AW69" s="85">
        <f t="shared" si="16"/>
        <v>55</v>
      </c>
      <c r="AX69" s="85">
        <f t="shared" si="16"/>
        <v>2</v>
      </c>
      <c r="AY69" s="85">
        <f t="shared" si="16"/>
        <v>1</v>
      </c>
      <c r="AZ69" s="85">
        <f t="shared" si="16"/>
        <v>10.1</v>
      </c>
      <c r="BA69" s="85">
        <f t="shared" si="16"/>
        <v>47</v>
      </c>
      <c r="BB69" s="85">
        <f t="shared" si="16"/>
        <v>0.06</v>
      </c>
      <c r="BC69" s="85">
        <f t="shared" si="16"/>
        <v>1.2</v>
      </c>
      <c r="BD69" s="85">
        <f t="shared" si="16"/>
        <v>59</v>
      </c>
      <c r="BE69" s="85">
        <f t="shared" si="16"/>
        <v>73.83</v>
      </c>
    </row>
    <row r="70" spans="1:57">
      <c r="A70" s="85">
        <f>tblCities!A40</f>
        <v>38</v>
      </c>
      <c r="B70" s="85">
        <f>tblCities!B40</f>
        <v>0</v>
      </c>
      <c r="C70" s="85" t="str">
        <f>tblCities!C40</f>
        <v>Abu Dhabi</v>
      </c>
      <c r="D70" s="85">
        <f>tblCities!H39</f>
        <v>1</v>
      </c>
      <c r="E70" s="85">
        <f>tblCities!I39</f>
        <v>0</v>
      </c>
      <c r="F70" s="85">
        <f>tblCities!J39</f>
        <v>0</v>
      </c>
      <c r="N70" s="85">
        <f t="shared" si="17"/>
        <v>4</v>
      </c>
      <c r="O70" s="85">
        <f t="shared" si="17"/>
        <v>2</v>
      </c>
      <c r="P70" s="85">
        <f t="shared" si="17"/>
        <v>0</v>
      </c>
      <c r="Q70" s="85">
        <f t="shared" si="17"/>
        <v>1</v>
      </c>
      <c r="R70" s="85">
        <f t="shared" si="17"/>
        <v>100</v>
      </c>
      <c r="S70" s="85">
        <f t="shared" si="17"/>
        <v>2</v>
      </c>
      <c r="T70" s="85">
        <f t="shared" si="17"/>
        <v>0.5</v>
      </c>
      <c r="U70" s="85">
        <f t="shared" si="17"/>
        <v>3</v>
      </c>
      <c r="V70" s="85">
        <f t="shared" si="17"/>
        <v>0.88</v>
      </c>
      <c r="W70" s="85">
        <f t="shared" si="17"/>
        <v>64</v>
      </c>
      <c r="X70" s="85">
        <f t="shared" si="17"/>
        <v>75</v>
      </c>
      <c r="Y70" s="85">
        <f t="shared" si="17"/>
        <v>2.7</v>
      </c>
      <c r="Z70" s="85">
        <f t="shared" si="17"/>
        <v>2.3</v>
      </c>
      <c r="AA70" s="85">
        <f t="shared" si="17"/>
        <v>100</v>
      </c>
      <c r="AB70" s="85">
        <f t="shared" si="17"/>
        <v>2</v>
      </c>
      <c r="AC70" s="85">
        <f t="shared" si="17"/>
        <v>64</v>
      </c>
      <c r="AD70" s="85">
        <f t="shared" si="18"/>
        <v>61</v>
      </c>
      <c r="AE70" s="85">
        <f t="shared" si="18"/>
        <v>77</v>
      </c>
      <c r="AF70" s="85">
        <f t="shared" si="18"/>
        <v>6.3</v>
      </c>
      <c r="AG70" s="85">
        <f t="shared" si="18"/>
        <v>406</v>
      </c>
      <c r="AH70" s="85">
        <f t="shared" si="18"/>
        <v>8.25</v>
      </c>
      <c r="AI70" s="85">
        <f t="shared" si="18"/>
        <v>5</v>
      </c>
      <c r="AJ70" s="85">
        <f t="shared" si="18"/>
        <v>1</v>
      </c>
      <c r="AK70" s="85">
        <f t="shared" si="18"/>
        <v>2</v>
      </c>
      <c r="AL70" s="85">
        <f t="shared" si="18"/>
        <v>2</v>
      </c>
      <c r="AM70" s="85">
        <f t="shared" si="18"/>
        <v>0</v>
      </c>
      <c r="AN70" s="85">
        <f t="shared" si="18"/>
        <v>83</v>
      </c>
      <c r="AO70" s="85">
        <f t="shared" si="18"/>
        <v>1.9</v>
      </c>
      <c r="AP70" s="85">
        <f t="shared" si="18"/>
        <v>19.5</v>
      </c>
      <c r="AQ70" s="85">
        <f t="shared" si="18"/>
        <v>0.5</v>
      </c>
      <c r="AR70" s="85">
        <f t="shared" si="16"/>
        <v>1</v>
      </c>
      <c r="AS70" s="85">
        <f t="shared" si="16"/>
        <v>1</v>
      </c>
      <c r="AT70" s="85">
        <f t="shared" si="16"/>
        <v>0</v>
      </c>
      <c r="AU70" s="85">
        <f t="shared" si="16"/>
        <v>0</v>
      </c>
      <c r="AV70" s="85">
        <f t="shared" si="16"/>
        <v>3.8</v>
      </c>
      <c r="AW70" s="85">
        <f t="shared" si="16"/>
        <v>45</v>
      </c>
      <c r="AX70" s="85">
        <f t="shared" si="16"/>
        <v>2</v>
      </c>
      <c r="AY70" s="85">
        <f t="shared" si="16"/>
        <v>1</v>
      </c>
      <c r="AZ70" s="85">
        <f t="shared" si="16"/>
        <v>1.1</v>
      </c>
      <c r="BA70" s="85">
        <f t="shared" si="16"/>
        <v>63</v>
      </c>
      <c r="BB70" s="85">
        <f t="shared" si="16"/>
        <v>0.02</v>
      </c>
      <c r="BC70" s="85">
        <f t="shared" si="16"/>
        <v>0</v>
      </c>
      <c r="BD70" s="85">
        <f t="shared" si="16"/>
        <v>6169</v>
      </c>
      <c r="BE70" s="85">
        <f t="shared" si="16"/>
        <v>86.02</v>
      </c>
    </row>
    <row r="71" spans="1:57">
      <c r="A71" s="85">
        <f>tblCities!A41</f>
        <v>39</v>
      </c>
      <c r="B71" s="85">
        <f>tblCities!B41</f>
        <v>0</v>
      </c>
      <c r="C71" s="85" t="str">
        <f>tblCities!C41</f>
        <v>Brussels</v>
      </c>
      <c r="D71" s="85">
        <f>tblCities!H40</f>
        <v>1</v>
      </c>
      <c r="E71" s="85">
        <f>tblCities!I40</f>
        <v>0</v>
      </c>
      <c r="F71" s="85">
        <f>tblCities!J40</f>
        <v>0</v>
      </c>
      <c r="N71" s="85">
        <f t="shared" si="17"/>
        <v>5</v>
      </c>
      <c r="O71" s="85">
        <f t="shared" si="17"/>
        <v>2</v>
      </c>
      <c r="P71" s="85">
        <f t="shared" si="17"/>
        <v>0</v>
      </c>
      <c r="Q71" s="85">
        <f t="shared" si="17"/>
        <v>1</v>
      </c>
      <c r="R71" s="85">
        <f t="shared" si="17"/>
        <v>100</v>
      </c>
      <c r="S71" s="85">
        <f t="shared" si="17"/>
        <v>1</v>
      </c>
      <c r="T71" s="85">
        <f t="shared" si="17"/>
        <v>2</v>
      </c>
      <c r="U71" s="85">
        <f t="shared" si="17"/>
        <v>3</v>
      </c>
      <c r="V71" s="85">
        <f t="shared" si="17"/>
        <v>0.8217</v>
      </c>
      <c r="W71" s="85">
        <f t="shared" si="17"/>
        <v>100</v>
      </c>
      <c r="X71" s="85">
        <f t="shared" si="17"/>
        <v>100</v>
      </c>
      <c r="Y71" s="85">
        <f t="shared" si="17"/>
        <v>7.63</v>
      </c>
      <c r="Z71" s="85">
        <f t="shared" si="17"/>
        <v>5.7</v>
      </c>
      <c r="AA71" s="85">
        <f t="shared" si="17"/>
        <v>100</v>
      </c>
      <c r="AB71" s="85">
        <f t="shared" si="17"/>
        <v>1</v>
      </c>
      <c r="AC71" s="85">
        <f t="shared" si="17"/>
        <v>18</v>
      </c>
      <c r="AD71" s="85">
        <f t="shared" si="18"/>
        <v>90.5</v>
      </c>
      <c r="AE71" s="85">
        <f t="shared" si="18"/>
        <v>80.5</v>
      </c>
      <c r="AF71" s="85">
        <f t="shared" si="18"/>
        <v>2.8</v>
      </c>
      <c r="AG71" s="85">
        <f t="shared" si="18"/>
        <v>231.5</v>
      </c>
      <c r="AH71" s="85">
        <f t="shared" si="18"/>
        <v>6</v>
      </c>
      <c r="AI71" s="85">
        <f t="shared" si="18"/>
        <v>5</v>
      </c>
      <c r="AJ71" s="85">
        <f t="shared" si="18"/>
        <v>2</v>
      </c>
      <c r="AK71" s="85">
        <f t="shared" si="18"/>
        <v>1</v>
      </c>
      <c r="AL71" s="85">
        <f t="shared" si="18"/>
        <v>1</v>
      </c>
      <c r="AM71" s="85">
        <f t="shared" si="18"/>
        <v>87</v>
      </c>
      <c r="AN71" s="85">
        <f t="shared" si="18"/>
        <v>341</v>
      </c>
      <c r="AO71" s="85">
        <f t="shared" si="18"/>
        <v>1</v>
      </c>
      <c r="AP71" s="85">
        <f t="shared" si="18"/>
        <v>21.6</v>
      </c>
      <c r="AQ71" s="85">
        <f t="shared" si="18"/>
        <v>1</v>
      </c>
      <c r="AR71" s="85">
        <f t="shared" si="16"/>
        <v>1</v>
      </c>
      <c r="AS71" s="85">
        <f t="shared" si="16"/>
        <v>0</v>
      </c>
      <c r="AT71" s="85">
        <f t="shared" si="16"/>
        <v>0</v>
      </c>
      <c r="AU71" s="85">
        <f t="shared" si="16"/>
        <v>0</v>
      </c>
      <c r="AV71" s="85">
        <f t="shared" si="16"/>
        <v>3.1</v>
      </c>
      <c r="AW71" s="85">
        <f t="shared" si="16"/>
        <v>25</v>
      </c>
      <c r="AX71" s="85">
        <f t="shared" si="16"/>
        <v>2</v>
      </c>
      <c r="AY71" s="85">
        <f t="shared" si="16"/>
        <v>2</v>
      </c>
      <c r="AZ71" s="85">
        <f t="shared" si="16"/>
        <v>0.25</v>
      </c>
      <c r="BA71" s="85">
        <f t="shared" si="16"/>
        <v>71</v>
      </c>
      <c r="BB71" s="85">
        <f t="shared" si="16"/>
        <v>0.9</v>
      </c>
      <c r="BC71" s="85">
        <f t="shared" si="16"/>
        <v>0.2</v>
      </c>
      <c r="BD71" s="85">
        <f t="shared" si="16"/>
        <v>847.33</v>
      </c>
      <c r="BE71" s="85">
        <f t="shared" si="16"/>
        <v>46.19</v>
      </c>
    </row>
    <row r="72" spans="1:57">
      <c r="A72" s="85">
        <f>tblCities!A42</f>
        <v>40</v>
      </c>
      <c r="B72" s="85">
        <f>tblCities!B42</f>
        <v>0</v>
      </c>
      <c r="C72" s="85" t="str">
        <f>tblCities!C42</f>
        <v>Paris</v>
      </c>
      <c r="D72" s="85">
        <f>tblCities!H41</f>
        <v>1</v>
      </c>
      <c r="E72" s="85">
        <f>tblCities!I41</f>
        <v>0</v>
      </c>
      <c r="F72" s="85">
        <f>tblCities!J41</f>
        <v>0</v>
      </c>
      <c r="N72" s="85">
        <f t="shared" si="17"/>
        <v>3</v>
      </c>
      <c r="O72" s="85">
        <f t="shared" si="17"/>
        <v>0</v>
      </c>
      <c r="P72" s="85">
        <f t="shared" si="17"/>
        <v>0</v>
      </c>
      <c r="Q72" s="85">
        <f t="shared" si="17"/>
        <v>1</v>
      </c>
      <c r="R72" s="85">
        <f t="shared" si="17"/>
        <v>100</v>
      </c>
      <c r="S72" s="85">
        <f t="shared" si="17"/>
        <v>1</v>
      </c>
      <c r="T72" s="85">
        <f t="shared" si="17"/>
        <v>1</v>
      </c>
      <c r="U72" s="85">
        <f t="shared" si="17"/>
        <v>4</v>
      </c>
      <c r="V72" s="85">
        <f t="shared" si="17"/>
        <v>0.82</v>
      </c>
      <c r="W72" s="85">
        <f t="shared" si="17"/>
        <v>94.4</v>
      </c>
      <c r="X72" s="85">
        <f t="shared" si="17"/>
        <v>100</v>
      </c>
      <c r="Y72" s="85">
        <f t="shared" si="17"/>
        <v>7.11</v>
      </c>
      <c r="Z72" s="85">
        <f t="shared" si="17"/>
        <v>3.5</v>
      </c>
      <c r="AA72" s="85">
        <f t="shared" si="17"/>
        <v>100</v>
      </c>
      <c r="AB72" s="85">
        <f t="shared" si="17"/>
        <v>1</v>
      </c>
      <c r="AC72" s="85">
        <f t="shared" si="17"/>
        <v>17</v>
      </c>
      <c r="AD72" s="85">
        <f t="shared" si="18"/>
        <v>85.5</v>
      </c>
      <c r="AE72" s="85">
        <f t="shared" si="18"/>
        <v>81.46</v>
      </c>
      <c r="AF72" s="85">
        <f t="shared" si="18"/>
        <v>3.37</v>
      </c>
      <c r="AG72" s="85">
        <f t="shared" si="18"/>
        <v>177</v>
      </c>
      <c r="AH72" s="85">
        <f t="shared" si="18"/>
        <v>8.75</v>
      </c>
      <c r="AI72" s="85">
        <f t="shared" si="18"/>
        <v>0</v>
      </c>
      <c r="AJ72" s="85">
        <f t="shared" si="18"/>
        <v>2</v>
      </c>
      <c r="AK72" s="85">
        <f t="shared" si="18"/>
        <v>1</v>
      </c>
      <c r="AL72" s="85">
        <f t="shared" si="18"/>
        <v>1</v>
      </c>
      <c r="AM72" s="85">
        <f t="shared" si="18"/>
        <v>15.45</v>
      </c>
      <c r="AN72" s="85">
        <f t="shared" si="18"/>
        <v>1061</v>
      </c>
      <c r="AO72" s="85">
        <f t="shared" si="18"/>
        <v>0.8</v>
      </c>
      <c r="AP72" s="85">
        <f t="shared" si="18"/>
        <v>19.1</v>
      </c>
      <c r="AQ72" s="85">
        <f t="shared" si="18"/>
        <v>1</v>
      </c>
      <c r="AR72" s="85">
        <f t="shared" si="16"/>
        <v>1</v>
      </c>
      <c r="AS72" s="85">
        <f t="shared" si="16"/>
        <v>1</v>
      </c>
      <c r="AT72" s="85">
        <f t="shared" si="16"/>
        <v>1</v>
      </c>
      <c r="AU72" s="85">
        <f t="shared" si="16"/>
        <v>0</v>
      </c>
      <c r="AV72" s="85">
        <f t="shared" si="16"/>
        <v>4</v>
      </c>
      <c r="AW72" s="85">
        <f t="shared" si="16"/>
        <v>30</v>
      </c>
      <c r="AX72" s="85">
        <f t="shared" si="16"/>
        <v>2</v>
      </c>
      <c r="AY72" s="85">
        <f t="shared" si="16"/>
        <v>2</v>
      </c>
      <c r="AZ72" s="85">
        <f t="shared" si="16"/>
        <v>9.85</v>
      </c>
      <c r="BA72" s="85">
        <f t="shared" si="16"/>
        <v>68</v>
      </c>
      <c r="BB72" s="85">
        <f t="shared" si="16"/>
        <v>0.6</v>
      </c>
      <c r="BC72" s="85">
        <f t="shared" si="16"/>
        <v>1</v>
      </c>
      <c r="BD72" s="85">
        <f t="shared" si="16"/>
        <v>10885</v>
      </c>
      <c r="BE72" s="85">
        <f t="shared" si="16"/>
        <v>43.88</v>
      </c>
    </row>
    <row r="73" spans="1:57">
      <c r="A73" s="85">
        <f>tblCities!A43</f>
        <v>41</v>
      </c>
      <c r="B73" s="85">
        <f>tblCities!B43</f>
        <v>0</v>
      </c>
      <c r="C73" s="85" t="str">
        <f>tblCities!C43</f>
        <v>Frankfurt</v>
      </c>
      <c r="D73" s="85">
        <f>tblCities!H42</f>
        <v>1</v>
      </c>
      <c r="E73" s="85">
        <f>tblCities!I42</f>
        <v>0</v>
      </c>
      <c r="F73" s="85">
        <f>tblCities!J42</f>
        <v>0</v>
      </c>
      <c r="N73" s="85">
        <f t="shared" si="17"/>
        <v>4</v>
      </c>
      <c r="O73" s="85">
        <f t="shared" si="17"/>
        <v>1</v>
      </c>
      <c r="P73" s="85">
        <f t="shared" si="17"/>
        <v>0</v>
      </c>
      <c r="Q73" s="85">
        <f t="shared" si="17"/>
        <v>1</v>
      </c>
      <c r="R73" s="85">
        <f t="shared" si="17"/>
        <v>100</v>
      </c>
      <c r="S73" s="85">
        <f t="shared" si="17"/>
        <v>1</v>
      </c>
      <c r="T73" s="85">
        <f t="shared" si="17"/>
        <v>5</v>
      </c>
      <c r="U73" s="85">
        <f t="shared" si="17"/>
        <v>4</v>
      </c>
      <c r="V73" s="85">
        <f t="shared" si="17"/>
        <v>0.84</v>
      </c>
      <c r="W73" s="85">
        <f t="shared" si="17"/>
        <v>75.6</v>
      </c>
      <c r="X73" s="85">
        <f t="shared" si="17"/>
        <v>100</v>
      </c>
      <c r="Y73" s="85">
        <f t="shared" si="17"/>
        <v>8.3</v>
      </c>
      <c r="Z73" s="85">
        <f t="shared" si="17"/>
        <v>3.69</v>
      </c>
      <c r="AA73" s="85">
        <f t="shared" si="17"/>
        <v>100</v>
      </c>
      <c r="AB73" s="85">
        <f t="shared" si="17"/>
        <v>1</v>
      </c>
      <c r="AC73" s="85">
        <f t="shared" si="17"/>
        <v>18</v>
      </c>
      <c r="AD73" s="85">
        <f t="shared" si="18"/>
        <v>88.6</v>
      </c>
      <c r="AE73" s="85">
        <f t="shared" si="18"/>
        <v>79.26</v>
      </c>
      <c r="AF73" s="85">
        <f t="shared" si="18"/>
        <v>0.8</v>
      </c>
      <c r="AG73" s="85">
        <f t="shared" si="18"/>
        <v>100.82</v>
      </c>
      <c r="AH73" s="85">
        <f t="shared" si="18"/>
        <v>7.75</v>
      </c>
      <c r="AI73" s="85">
        <f t="shared" si="18"/>
        <v>5</v>
      </c>
      <c r="AJ73" s="85">
        <f t="shared" si="18"/>
        <v>1</v>
      </c>
      <c r="AK73" s="85">
        <f t="shared" si="18"/>
        <v>1</v>
      </c>
      <c r="AL73" s="85">
        <f t="shared" si="18"/>
        <v>1</v>
      </c>
      <c r="AM73" s="85">
        <f t="shared" si="18"/>
        <v>16.6666666666667</v>
      </c>
      <c r="AN73" s="85">
        <f t="shared" si="18"/>
        <v>2177</v>
      </c>
      <c r="AO73" s="85">
        <f t="shared" si="18"/>
        <v>0.6</v>
      </c>
      <c r="AP73" s="85">
        <f t="shared" si="18"/>
        <v>19.6</v>
      </c>
      <c r="AQ73" s="85">
        <f t="shared" si="18"/>
        <v>1</v>
      </c>
      <c r="AR73" s="85">
        <f t="shared" si="16"/>
        <v>1</v>
      </c>
      <c r="AS73" s="85">
        <f t="shared" si="16"/>
        <v>1</v>
      </c>
      <c r="AT73" s="85">
        <f t="shared" si="16"/>
        <v>1</v>
      </c>
      <c r="AU73" s="85">
        <f t="shared" si="16"/>
        <v>0</v>
      </c>
      <c r="AV73" s="85">
        <f t="shared" si="16"/>
        <v>3.2</v>
      </c>
      <c r="AW73" s="85">
        <f t="shared" si="16"/>
        <v>15</v>
      </c>
      <c r="AX73" s="85">
        <f t="shared" si="16"/>
        <v>2</v>
      </c>
      <c r="AY73" s="85">
        <f t="shared" si="16"/>
        <v>2</v>
      </c>
      <c r="AZ73" s="85">
        <f t="shared" si="16"/>
        <v>39.67</v>
      </c>
      <c r="BA73" s="85">
        <f t="shared" si="16"/>
        <v>79</v>
      </c>
      <c r="BB73" s="85">
        <f t="shared" si="16"/>
        <v>0.9</v>
      </c>
      <c r="BC73" s="85">
        <f t="shared" si="16"/>
        <v>0.2</v>
      </c>
      <c r="BD73" s="85">
        <f t="shared" si="16"/>
        <v>8031</v>
      </c>
      <c r="BE73" s="85">
        <f t="shared" si="16"/>
        <v>73.06</v>
      </c>
    </row>
    <row r="74" spans="1:57">
      <c r="A74" s="85">
        <f>tblCities!A44</f>
        <v>42</v>
      </c>
      <c r="B74" s="85">
        <f>tblCities!B44</f>
        <v>0</v>
      </c>
      <c r="C74" s="85" t="str">
        <f>tblCities!C44</f>
        <v>Rome</v>
      </c>
      <c r="D74" s="85">
        <f>tblCities!H43</f>
        <v>1</v>
      </c>
      <c r="E74" s="85">
        <f>tblCities!I43</f>
        <v>0</v>
      </c>
      <c r="F74" s="85">
        <f>tblCities!J43</f>
        <v>0</v>
      </c>
      <c r="N74" s="85">
        <f t="shared" si="17"/>
        <v>4</v>
      </c>
      <c r="O74" s="85">
        <f t="shared" si="17"/>
        <v>0</v>
      </c>
      <c r="P74" s="85">
        <f t="shared" si="17"/>
        <v>0</v>
      </c>
      <c r="Q74" s="85">
        <f t="shared" si="17"/>
        <v>1</v>
      </c>
      <c r="R74" s="85">
        <f t="shared" si="17"/>
        <v>100</v>
      </c>
      <c r="S74" s="85">
        <f t="shared" si="17"/>
        <v>1</v>
      </c>
      <c r="T74" s="85">
        <f t="shared" si="17"/>
        <v>0</v>
      </c>
      <c r="U74" s="85">
        <f t="shared" si="17"/>
        <v>3</v>
      </c>
      <c r="V74" s="85">
        <f t="shared" si="17"/>
        <v>0.58</v>
      </c>
      <c r="W74" s="85">
        <f t="shared" si="17"/>
        <v>52.2</v>
      </c>
      <c r="X74" s="85">
        <f t="shared" si="17"/>
        <v>87.5</v>
      </c>
      <c r="Y74" s="85">
        <f t="shared" si="17"/>
        <v>4.3</v>
      </c>
      <c r="Z74" s="85">
        <f t="shared" si="17"/>
        <v>4.1</v>
      </c>
      <c r="AA74" s="85">
        <f t="shared" si="17"/>
        <v>100</v>
      </c>
      <c r="AB74" s="85">
        <f t="shared" si="17"/>
        <v>2</v>
      </c>
      <c r="AC74" s="85">
        <f t="shared" ref="X74:AG82" si="19">IF(AC$29=1,INDEX(aData,AC$7,$A74),"n.a.")</f>
        <v>21</v>
      </c>
      <c r="AD74" s="85">
        <f t="shared" si="19"/>
        <v>68.8</v>
      </c>
      <c r="AE74" s="85">
        <f t="shared" si="19"/>
        <v>82.4</v>
      </c>
      <c r="AF74" s="85">
        <f t="shared" si="19"/>
        <v>6.5</v>
      </c>
      <c r="AG74" s="85">
        <f t="shared" si="19"/>
        <v>134.04</v>
      </c>
      <c r="AH74" s="85">
        <f t="shared" si="18"/>
        <v>6.75</v>
      </c>
      <c r="AI74" s="85">
        <f t="shared" si="18"/>
        <v>5</v>
      </c>
      <c r="AJ74" s="85">
        <f t="shared" si="18"/>
        <v>1</v>
      </c>
      <c r="AK74" s="85">
        <f t="shared" si="18"/>
        <v>1</v>
      </c>
      <c r="AL74" s="85">
        <f t="shared" si="18"/>
        <v>1</v>
      </c>
      <c r="AM74" s="85">
        <f t="shared" si="18"/>
        <v>19.2307692307692</v>
      </c>
      <c r="AN74" s="85">
        <f t="shared" si="18"/>
        <v>706</v>
      </c>
      <c r="AO74" s="85">
        <f t="shared" si="18"/>
        <v>2.4</v>
      </c>
      <c r="AP74" s="85">
        <f t="shared" si="18"/>
        <v>28.4</v>
      </c>
      <c r="AQ74" s="85">
        <f t="shared" si="18"/>
        <v>1</v>
      </c>
      <c r="AR74" s="85">
        <f t="shared" si="16"/>
        <v>1</v>
      </c>
      <c r="AS74" s="85">
        <f t="shared" si="16"/>
        <v>1</v>
      </c>
      <c r="AT74" s="85">
        <f t="shared" si="16"/>
        <v>0</v>
      </c>
      <c r="AU74" s="85">
        <f t="shared" si="16"/>
        <v>0</v>
      </c>
      <c r="AV74" s="85">
        <f t="shared" si="16"/>
        <v>3.6</v>
      </c>
      <c r="AW74" s="85">
        <f t="shared" si="16"/>
        <v>35</v>
      </c>
      <c r="AX74" s="85">
        <f t="shared" si="16"/>
        <v>3</v>
      </c>
      <c r="AY74" s="85">
        <f t="shared" si="16"/>
        <v>2</v>
      </c>
      <c r="AZ74" s="85">
        <f t="shared" si="16"/>
        <v>111.05</v>
      </c>
      <c r="BA74" s="85">
        <f t="shared" si="16"/>
        <v>39</v>
      </c>
      <c r="BB74" s="85">
        <f t="shared" si="16"/>
        <v>2.2</v>
      </c>
      <c r="BC74" s="85">
        <f t="shared" si="16"/>
        <v>0.9</v>
      </c>
      <c r="BD74" s="85">
        <f t="shared" si="16"/>
        <v>102</v>
      </c>
      <c r="BE74" s="85">
        <f t="shared" si="16"/>
        <v>29.69</v>
      </c>
    </row>
    <row r="75" spans="1:57">
      <c r="A75" s="85">
        <f>tblCities!A45</f>
        <v>43</v>
      </c>
      <c r="B75" s="85">
        <f>tblCities!B45</f>
        <v>0</v>
      </c>
      <c r="C75" s="85" t="str">
        <f>tblCities!C45</f>
        <v>Milan</v>
      </c>
      <c r="D75" s="85">
        <f>tblCities!H44</f>
        <v>1</v>
      </c>
      <c r="E75" s="85">
        <f>tblCities!I44</f>
        <v>0</v>
      </c>
      <c r="F75" s="85">
        <f>tblCities!J44</f>
        <v>0</v>
      </c>
      <c r="N75" s="85">
        <f t="shared" ref="N75:W82" si="20">IF(N$29=1,INDEX(aData,N$7,$A75),"n.a.")</f>
        <v>4</v>
      </c>
      <c r="O75" s="85">
        <f t="shared" si="20"/>
        <v>0</v>
      </c>
      <c r="P75" s="85">
        <f t="shared" si="20"/>
        <v>0</v>
      </c>
      <c r="Q75" s="85">
        <f t="shared" si="20"/>
        <v>1</v>
      </c>
      <c r="R75" s="85">
        <f t="shared" si="20"/>
        <v>100</v>
      </c>
      <c r="S75" s="85">
        <f t="shared" si="20"/>
        <v>2</v>
      </c>
      <c r="T75" s="85">
        <f t="shared" si="20"/>
        <v>0</v>
      </c>
      <c r="U75" s="85">
        <f t="shared" si="20"/>
        <v>3</v>
      </c>
      <c r="V75" s="85">
        <f t="shared" si="20"/>
        <v>0.63</v>
      </c>
      <c r="W75" s="85">
        <f t="shared" si="20"/>
        <v>52.2</v>
      </c>
      <c r="X75" s="85">
        <f t="shared" si="19"/>
        <v>88</v>
      </c>
      <c r="Y75" s="85">
        <f t="shared" si="19"/>
        <v>5.6</v>
      </c>
      <c r="Z75" s="85">
        <f t="shared" si="19"/>
        <v>1.33</v>
      </c>
      <c r="AA75" s="85">
        <f t="shared" si="19"/>
        <v>100</v>
      </c>
      <c r="AB75" s="85">
        <f t="shared" si="19"/>
        <v>2</v>
      </c>
      <c r="AC75" s="85">
        <f t="shared" si="19"/>
        <v>33</v>
      </c>
      <c r="AD75" s="85">
        <f t="shared" si="19"/>
        <v>68.8</v>
      </c>
      <c r="AE75" s="85">
        <f t="shared" si="19"/>
        <v>82.8</v>
      </c>
      <c r="AF75" s="85">
        <f t="shared" si="19"/>
        <v>2.71</v>
      </c>
      <c r="AG75" s="85">
        <f t="shared" si="19"/>
        <v>136.84</v>
      </c>
      <c r="AH75" s="85">
        <f t="shared" si="18"/>
        <v>6.75</v>
      </c>
      <c r="AI75" s="85">
        <f t="shared" si="18"/>
        <v>5</v>
      </c>
      <c r="AJ75" s="85">
        <f t="shared" si="18"/>
        <v>2</v>
      </c>
      <c r="AK75" s="85">
        <f t="shared" si="18"/>
        <v>1</v>
      </c>
      <c r="AL75" s="85">
        <f t="shared" si="18"/>
        <v>1</v>
      </c>
      <c r="AM75" s="85">
        <f t="shared" si="18"/>
        <v>38.4615384615385</v>
      </c>
      <c r="AN75" s="85">
        <f t="shared" si="18"/>
        <v>1282</v>
      </c>
      <c r="AO75" s="85">
        <f t="shared" si="18"/>
        <v>2.6</v>
      </c>
      <c r="AP75" s="85">
        <f t="shared" si="18"/>
        <v>28.4</v>
      </c>
      <c r="AQ75" s="85">
        <f t="shared" si="18"/>
        <v>1</v>
      </c>
      <c r="AR75" s="85">
        <f t="shared" si="16"/>
        <v>1</v>
      </c>
      <c r="AS75" s="85">
        <f t="shared" si="16"/>
        <v>1</v>
      </c>
      <c r="AT75" s="85">
        <f t="shared" si="16"/>
        <v>1</v>
      </c>
      <c r="AU75" s="85">
        <f t="shared" si="16"/>
        <v>0</v>
      </c>
      <c r="AV75" s="85">
        <f t="shared" si="16"/>
        <v>3.6</v>
      </c>
      <c r="AW75" s="85">
        <f t="shared" si="16"/>
        <v>35</v>
      </c>
      <c r="AX75" s="85">
        <f t="shared" ref="AR75:BE82" si="21">IF(AX$29=1,INDEX(aData,AX$7,$A75),"n.a.")</f>
        <v>2</v>
      </c>
      <c r="AY75" s="85">
        <f t="shared" si="21"/>
        <v>2</v>
      </c>
      <c r="AZ75" s="85">
        <f t="shared" si="21"/>
        <v>111.05</v>
      </c>
      <c r="BA75" s="85">
        <f t="shared" si="21"/>
        <v>39</v>
      </c>
      <c r="BB75" s="85">
        <f t="shared" si="21"/>
        <v>2.2</v>
      </c>
      <c r="BC75" s="85">
        <f t="shared" si="21"/>
        <v>0.7</v>
      </c>
      <c r="BD75" s="85">
        <f t="shared" si="21"/>
        <v>116</v>
      </c>
      <c r="BE75" s="85">
        <f t="shared" si="21"/>
        <v>46.95</v>
      </c>
    </row>
    <row r="76" spans="1:57">
      <c r="A76" s="85">
        <f>tblCities!A46</f>
        <v>44</v>
      </c>
      <c r="B76" s="85">
        <f>tblCities!B46</f>
        <v>0</v>
      </c>
      <c r="C76" s="85" t="str">
        <f>tblCities!C46</f>
        <v>Amsterdam</v>
      </c>
      <c r="D76" s="85">
        <f>tblCities!H45</f>
        <v>1</v>
      </c>
      <c r="E76" s="85">
        <f>tblCities!I45</f>
        <v>0</v>
      </c>
      <c r="F76" s="85">
        <f>tblCities!J45</f>
        <v>0</v>
      </c>
      <c r="N76" s="85">
        <f t="shared" si="20"/>
        <v>5</v>
      </c>
      <c r="O76" s="85">
        <f t="shared" si="20"/>
        <v>1</v>
      </c>
      <c r="P76" s="85">
        <f t="shared" si="20"/>
        <v>0</v>
      </c>
      <c r="Q76" s="85">
        <f t="shared" si="20"/>
        <v>1</v>
      </c>
      <c r="R76" s="85">
        <f t="shared" si="20"/>
        <v>100</v>
      </c>
      <c r="S76" s="85">
        <f t="shared" si="20"/>
        <v>1</v>
      </c>
      <c r="T76" s="85">
        <f t="shared" si="20"/>
        <v>0.3</v>
      </c>
      <c r="U76" s="85">
        <f t="shared" si="20"/>
        <v>2</v>
      </c>
      <c r="V76" s="85">
        <f t="shared" si="20"/>
        <v>0.94</v>
      </c>
      <c r="W76" s="85">
        <f t="shared" si="20"/>
        <v>91.1</v>
      </c>
      <c r="X76" s="85">
        <f t="shared" si="19"/>
        <v>100</v>
      </c>
      <c r="Y76" s="85">
        <f t="shared" si="19"/>
        <v>4.7</v>
      </c>
      <c r="Z76" s="85">
        <f t="shared" si="19"/>
        <v>2.9</v>
      </c>
      <c r="AA76" s="85">
        <f t="shared" si="19"/>
        <v>100</v>
      </c>
      <c r="AB76" s="85">
        <f t="shared" si="19"/>
        <v>1</v>
      </c>
      <c r="AC76" s="85">
        <f t="shared" si="19"/>
        <v>18</v>
      </c>
      <c r="AD76" s="85">
        <f t="shared" si="19"/>
        <v>92.1</v>
      </c>
      <c r="AE76" s="85">
        <f t="shared" si="19"/>
        <v>78.84</v>
      </c>
      <c r="AF76" s="85">
        <f t="shared" si="19"/>
        <v>4.2</v>
      </c>
      <c r="AG76" s="85">
        <f t="shared" si="19"/>
        <v>199.36</v>
      </c>
      <c r="AH76" s="85">
        <f t="shared" si="18"/>
        <v>7</v>
      </c>
      <c r="AI76" s="85">
        <f t="shared" si="18"/>
        <v>5</v>
      </c>
      <c r="AJ76" s="85">
        <f t="shared" si="18"/>
        <v>1</v>
      </c>
      <c r="AK76" s="85">
        <f t="shared" si="18"/>
        <v>1</v>
      </c>
      <c r="AL76" s="85">
        <f t="shared" si="18"/>
        <v>1</v>
      </c>
      <c r="AM76" s="85">
        <f t="shared" si="18"/>
        <v>126.25</v>
      </c>
      <c r="AN76" s="85">
        <f t="shared" si="18"/>
        <v>54</v>
      </c>
      <c r="AO76" s="85">
        <f t="shared" si="18"/>
        <v>0.4</v>
      </c>
      <c r="AP76" s="85">
        <f t="shared" si="18"/>
        <v>15</v>
      </c>
      <c r="AQ76" s="85">
        <f t="shared" si="18"/>
        <v>1</v>
      </c>
      <c r="AR76" s="85">
        <f t="shared" si="21"/>
        <v>1</v>
      </c>
      <c r="AS76" s="85">
        <f t="shared" si="21"/>
        <v>1</v>
      </c>
      <c r="AT76" s="85">
        <f t="shared" si="21"/>
        <v>1</v>
      </c>
      <c r="AU76" s="85">
        <f t="shared" si="21"/>
        <v>1</v>
      </c>
      <c r="AV76" s="85">
        <f t="shared" si="21"/>
        <v>2.5</v>
      </c>
      <c r="AW76" s="85">
        <f t="shared" si="21"/>
        <v>20</v>
      </c>
      <c r="AX76" s="85">
        <f t="shared" si="21"/>
        <v>3</v>
      </c>
      <c r="AY76" s="85">
        <f t="shared" si="21"/>
        <v>2</v>
      </c>
      <c r="AZ76" s="85">
        <f t="shared" si="21"/>
        <v>0.7</v>
      </c>
      <c r="BA76" s="85">
        <f t="shared" si="21"/>
        <v>88</v>
      </c>
      <c r="BB76" s="85">
        <f t="shared" si="21"/>
        <v>0.6</v>
      </c>
      <c r="BC76" s="85">
        <f t="shared" si="21"/>
        <v>0.1</v>
      </c>
      <c r="BD76" s="85">
        <f t="shared" si="21"/>
        <v>732</v>
      </c>
      <c r="BE76" s="85">
        <f t="shared" si="21"/>
        <v>68.41</v>
      </c>
    </row>
    <row r="77" spans="1:57">
      <c r="A77" s="85">
        <f>tblCities!A47</f>
        <v>45</v>
      </c>
      <c r="B77" s="85">
        <f>tblCities!B47</f>
        <v>0</v>
      </c>
      <c r="C77" s="85" t="str">
        <f>tblCities!C47</f>
        <v>Moscow</v>
      </c>
      <c r="D77" s="85">
        <f>tblCities!H46</f>
        <v>1</v>
      </c>
      <c r="E77" s="85">
        <f>tblCities!I46</f>
        <v>0</v>
      </c>
      <c r="F77" s="85">
        <f>tblCities!J46</f>
        <v>0</v>
      </c>
      <c r="N77" s="85">
        <f t="shared" si="20"/>
        <v>2</v>
      </c>
      <c r="O77" s="85">
        <f t="shared" si="20"/>
        <v>1</v>
      </c>
      <c r="P77" s="85">
        <f t="shared" si="20"/>
        <v>0</v>
      </c>
      <c r="Q77" s="85">
        <f t="shared" si="20"/>
        <v>1</v>
      </c>
      <c r="R77" s="85">
        <f t="shared" si="20"/>
        <v>75</v>
      </c>
      <c r="S77" s="85">
        <f t="shared" si="20"/>
        <v>1</v>
      </c>
      <c r="T77" s="85">
        <f t="shared" si="20"/>
        <v>7</v>
      </c>
      <c r="U77" s="85">
        <f t="shared" si="20"/>
        <v>5</v>
      </c>
      <c r="V77" s="85">
        <f t="shared" si="20"/>
        <v>0.74</v>
      </c>
      <c r="W77" s="85">
        <f t="shared" si="20"/>
        <v>89</v>
      </c>
      <c r="X77" s="85">
        <f t="shared" si="19"/>
        <v>79.2</v>
      </c>
      <c r="Y77" s="85">
        <f t="shared" si="19"/>
        <v>9.7</v>
      </c>
      <c r="Z77" s="85">
        <f t="shared" si="19"/>
        <v>3.9</v>
      </c>
      <c r="AA77" s="85">
        <f t="shared" si="19"/>
        <v>95.3</v>
      </c>
      <c r="AB77" s="85">
        <f t="shared" si="19"/>
        <v>2</v>
      </c>
      <c r="AC77" s="85">
        <f t="shared" si="19"/>
        <v>22</v>
      </c>
      <c r="AD77" s="85">
        <f t="shared" si="19"/>
        <v>67.4181818181818</v>
      </c>
      <c r="AE77" s="85">
        <f t="shared" si="19"/>
        <v>75.5</v>
      </c>
      <c r="AF77" s="85">
        <f t="shared" si="19"/>
        <v>7.4</v>
      </c>
      <c r="AG77" s="85">
        <f t="shared" si="19"/>
        <v>122.55</v>
      </c>
      <c r="AH77" s="85">
        <f t="shared" si="18"/>
        <v>6</v>
      </c>
      <c r="AI77" s="85">
        <f t="shared" si="18"/>
        <v>5</v>
      </c>
      <c r="AJ77" s="85">
        <f t="shared" si="18"/>
        <v>2</v>
      </c>
      <c r="AK77" s="85">
        <f t="shared" si="18"/>
        <v>1</v>
      </c>
      <c r="AL77" s="85">
        <f t="shared" si="18"/>
        <v>3</v>
      </c>
      <c r="AM77" s="85">
        <f t="shared" si="18"/>
        <v>470.5</v>
      </c>
      <c r="AN77" s="85">
        <f t="shared" si="18"/>
        <v>104</v>
      </c>
      <c r="AO77" s="85">
        <f t="shared" si="18"/>
        <v>9.8</v>
      </c>
      <c r="AP77" s="85">
        <f t="shared" si="18"/>
        <v>36</v>
      </c>
      <c r="AQ77" s="85">
        <f t="shared" si="18"/>
        <v>0.5</v>
      </c>
      <c r="AR77" s="85">
        <f t="shared" si="21"/>
        <v>1</v>
      </c>
      <c r="AS77" s="85">
        <f t="shared" si="21"/>
        <v>0</v>
      </c>
      <c r="AT77" s="85">
        <f t="shared" si="21"/>
        <v>0</v>
      </c>
      <c r="AU77" s="85">
        <f t="shared" si="21"/>
        <v>0</v>
      </c>
      <c r="AV77" s="85">
        <f t="shared" si="21"/>
        <v>3.1</v>
      </c>
      <c r="AW77" s="85">
        <f t="shared" si="21"/>
        <v>65</v>
      </c>
      <c r="AX77" s="85">
        <f t="shared" si="21"/>
        <v>3</v>
      </c>
      <c r="AY77" s="85">
        <f t="shared" si="21"/>
        <v>2</v>
      </c>
      <c r="AZ77" s="85">
        <f t="shared" si="21"/>
        <v>49.04</v>
      </c>
      <c r="BA77" s="85">
        <f t="shared" si="21"/>
        <v>21</v>
      </c>
      <c r="BB77" s="85">
        <f t="shared" si="21"/>
        <v>0.2</v>
      </c>
      <c r="BC77" s="85">
        <f t="shared" si="21"/>
        <v>2.2</v>
      </c>
      <c r="BD77" s="85">
        <f t="shared" si="21"/>
        <v>382</v>
      </c>
      <c r="BE77" s="85">
        <f t="shared" si="21"/>
        <v>46.01</v>
      </c>
    </row>
    <row r="78" spans="1:57">
      <c r="A78" s="85">
        <f>tblCities!A48</f>
        <v>46</v>
      </c>
      <c r="B78" s="85">
        <f>tblCities!B48</f>
        <v>0</v>
      </c>
      <c r="C78" s="85" t="str">
        <f>tblCities!C48</f>
        <v>Madrid</v>
      </c>
      <c r="D78" s="85">
        <f>tblCities!H47</f>
        <v>1</v>
      </c>
      <c r="E78" s="85">
        <f>tblCities!I47</f>
        <v>0</v>
      </c>
      <c r="F78" s="85">
        <f>tblCities!J47</f>
        <v>1</v>
      </c>
      <c r="N78" s="85">
        <f t="shared" si="20"/>
        <v>3</v>
      </c>
      <c r="O78" s="85">
        <f t="shared" si="20"/>
        <v>2</v>
      </c>
      <c r="P78" s="85">
        <f t="shared" si="20"/>
        <v>0</v>
      </c>
      <c r="Q78" s="85">
        <f t="shared" si="20"/>
        <v>1</v>
      </c>
      <c r="R78" s="85">
        <f t="shared" si="20"/>
        <v>100</v>
      </c>
      <c r="S78" s="85">
        <f t="shared" si="20"/>
        <v>1</v>
      </c>
      <c r="T78" s="85">
        <f t="shared" si="20"/>
        <v>6</v>
      </c>
      <c r="U78" s="85">
        <f t="shared" si="20"/>
        <v>4</v>
      </c>
      <c r="V78" s="85">
        <f t="shared" si="20"/>
        <v>0.77</v>
      </c>
      <c r="W78" s="85">
        <f t="shared" si="20"/>
        <v>80</v>
      </c>
      <c r="X78" s="85">
        <f t="shared" si="19"/>
        <v>87.5</v>
      </c>
      <c r="Y78" s="85">
        <f t="shared" si="19"/>
        <v>3.04</v>
      </c>
      <c r="Z78" s="85">
        <f t="shared" si="19"/>
        <v>5.07</v>
      </c>
      <c r="AA78" s="85">
        <f t="shared" si="19"/>
        <v>100</v>
      </c>
      <c r="AB78" s="85">
        <f t="shared" si="19"/>
        <v>1.5</v>
      </c>
      <c r="AC78" s="85">
        <f t="shared" si="19"/>
        <v>11</v>
      </c>
      <c r="AD78" s="85">
        <f t="shared" si="19"/>
        <v>85.9</v>
      </c>
      <c r="AE78" s="85">
        <f t="shared" si="19"/>
        <v>82.2</v>
      </c>
      <c r="AF78" s="85">
        <f t="shared" si="19"/>
        <v>3.4</v>
      </c>
      <c r="AG78" s="85">
        <f t="shared" si="19"/>
        <v>98.06</v>
      </c>
      <c r="AH78" s="85">
        <f t="shared" si="18"/>
        <v>7.25</v>
      </c>
      <c r="AI78" s="85">
        <f t="shared" si="18"/>
        <v>5</v>
      </c>
      <c r="AJ78" s="85">
        <f t="shared" si="18"/>
        <v>1</v>
      </c>
      <c r="AK78" s="85">
        <f t="shared" si="18"/>
        <v>1</v>
      </c>
      <c r="AL78" s="85">
        <f t="shared" si="18"/>
        <v>1</v>
      </c>
      <c r="AM78" s="85">
        <f t="shared" ref="AH78:AQ82" si="22">IF(AM$29=1,INDEX(aData,AM$7,$A78),"n.a.")</f>
        <v>4.33333333333333</v>
      </c>
      <c r="AN78" s="85">
        <f t="shared" si="22"/>
        <v>177</v>
      </c>
      <c r="AO78" s="85">
        <f t="shared" si="22"/>
        <v>0.3</v>
      </c>
      <c r="AP78" s="85">
        <f t="shared" si="22"/>
        <v>27.3</v>
      </c>
      <c r="AQ78" s="85">
        <f t="shared" si="22"/>
        <v>0.5</v>
      </c>
      <c r="AR78" s="85">
        <f t="shared" si="21"/>
        <v>1</v>
      </c>
      <c r="AS78" s="85">
        <f t="shared" si="21"/>
        <v>1</v>
      </c>
      <c r="AT78" s="85">
        <f t="shared" si="21"/>
        <v>0</v>
      </c>
      <c r="AU78" s="85">
        <f t="shared" si="21"/>
        <v>1</v>
      </c>
      <c r="AV78" s="85">
        <f t="shared" si="21"/>
        <v>2.6</v>
      </c>
      <c r="AW78" s="85">
        <f t="shared" si="21"/>
        <v>25</v>
      </c>
      <c r="AX78" s="85">
        <f t="shared" si="21"/>
        <v>2</v>
      </c>
      <c r="AY78" s="85">
        <f t="shared" si="21"/>
        <v>2</v>
      </c>
      <c r="AZ78" s="85">
        <f t="shared" si="21"/>
        <v>124.06</v>
      </c>
      <c r="BA78" s="85">
        <f t="shared" si="21"/>
        <v>61</v>
      </c>
      <c r="BB78" s="85">
        <f t="shared" si="21"/>
        <v>2.6</v>
      </c>
      <c r="BC78" s="85">
        <f t="shared" si="21"/>
        <v>1.9</v>
      </c>
      <c r="BD78" s="85">
        <f t="shared" si="21"/>
        <v>5452</v>
      </c>
      <c r="BE78" s="85">
        <f t="shared" si="21"/>
        <v>62.89</v>
      </c>
    </row>
    <row r="79" spans="1:57">
      <c r="A79" s="85">
        <f>tblCities!A49</f>
        <v>47</v>
      </c>
      <c r="B79" s="85">
        <f>tblCities!B49</f>
        <v>0</v>
      </c>
      <c r="C79" s="85" t="str">
        <f>tblCities!C49</f>
        <v>Barcelona</v>
      </c>
      <c r="D79" s="85">
        <f>tblCities!H48</f>
        <v>1</v>
      </c>
      <c r="E79" s="85">
        <f>tblCities!I48</f>
        <v>0</v>
      </c>
      <c r="F79" s="85">
        <f>tblCities!J48</f>
        <v>0</v>
      </c>
      <c r="N79" s="85">
        <f t="shared" si="20"/>
        <v>3</v>
      </c>
      <c r="O79" s="85">
        <f t="shared" si="20"/>
        <v>2</v>
      </c>
      <c r="P79" s="85">
        <f t="shared" si="20"/>
        <v>0</v>
      </c>
      <c r="Q79" s="85">
        <f t="shared" si="20"/>
        <v>0</v>
      </c>
      <c r="R79" s="85">
        <f t="shared" si="20"/>
        <v>100</v>
      </c>
      <c r="S79" s="85">
        <f t="shared" si="20"/>
        <v>2</v>
      </c>
      <c r="T79" s="85">
        <f t="shared" si="20"/>
        <v>6</v>
      </c>
      <c r="U79" s="85">
        <f t="shared" si="20"/>
        <v>4</v>
      </c>
      <c r="V79" s="85">
        <f t="shared" si="20"/>
        <v>0.744</v>
      </c>
      <c r="W79" s="85">
        <f t="shared" si="20"/>
        <v>80</v>
      </c>
      <c r="X79" s="85">
        <f t="shared" si="19"/>
        <v>92</v>
      </c>
      <c r="Y79" s="85">
        <f t="shared" si="19"/>
        <v>3.22</v>
      </c>
      <c r="Z79" s="85">
        <f t="shared" si="19"/>
        <v>4.7</v>
      </c>
      <c r="AA79" s="85">
        <f t="shared" si="19"/>
        <v>100</v>
      </c>
      <c r="AB79" s="85">
        <f t="shared" si="19"/>
        <v>1</v>
      </c>
      <c r="AC79" s="85">
        <f t="shared" si="19"/>
        <v>16</v>
      </c>
      <c r="AD79" s="85">
        <f t="shared" si="19"/>
        <v>85.9</v>
      </c>
      <c r="AE79" s="85">
        <f t="shared" si="19"/>
        <v>82.2</v>
      </c>
      <c r="AF79" s="85">
        <f t="shared" si="19"/>
        <v>3.33</v>
      </c>
      <c r="AG79" s="85">
        <f t="shared" si="19"/>
        <v>98.06</v>
      </c>
      <c r="AH79" s="85">
        <f t="shared" si="22"/>
        <v>7.25</v>
      </c>
      <c r="AI79" s="85">
        <f t="shared" si="22"/>
        <v>5</v>
      </c>
      <c r="AJ79" s="85">
        <f t="shared" si="22"/>
        <v>1</v>
      </c>
      <c r="AK79" s="85">
        <f t="shared" si="22"/>
        <v>1</v>
      </c>
      <c r="AL79" s="85">
        <f t="shared" si="22"/>
        <v>1</v>
      </c>
      <c r="AM79" s="85">
        <f t="shared" si="22"/>
        <v>8.66666666666667</v>
      </c>
      <c r="AN79" s="85">
        <f t="shared" si="22"/>
        <v>573</v>
      </c>
      <c r="AO79" s="85">
        <f t="shared" si="22"/>
        <v>0.7</v>
      </c>
      <c r="AP79" s="85">
        <f t="shared" si="22"/>
        <v>27.3</v>
      </c>
      <c r="AQ79" s="85">
        <f t="shared" si="22"/>
        <v>1</v>
      </c>
      <c r="AR79" s="85">
        <f t="shared" si="21"/>
        <v>1</v>
      </c>
      <c r="AS79" s="85">
        <f t="shared" si="21"/>
        <v>1</v>
      </c>
      <c r="AT79" s="85">
        <f t="shared" si="21"/>
        <v>1</v>
      </c>
      <c r="AU79" s="85">
        <f t="shared" si="21"/>
        <v>1</v>
      </c>
      <c r="AV79" s="85">
        <f t="shared" si="21"/>
        <v>2.6</v>
      </c>
      <c r="AW79" s="85">
        <f t="shared" si="21"/>
        <v>25</v>
      </c>
      <c r="AX79" s="85">
        <f t="shared" si="21"/>
        <v>2</v>
      </c>
      <c r="AY79" s="85">
        <f t="shared" si="21"/>
        <v>2</v>
      </c>
      <c r="AZ79" s="85">
        <f t="shared" si="21"/>
        <v>124.06</v>
      </c>
      <c r="BA79" s="85">
        <f t="shared" si="21"/>
        <v>61</v>
      </c>
      <c r="BB79" s="85">
        <f t="shared" si="21"/>
        <v>2.6</v>
      </c>
      <c r="BC79" s="85">
        <f t="shared" si="21"/>
        <v>0.1</v>
      </c>
      <c r="BD79" s="85">
        <f t="shared" si="21"/>
        <v>1280</v>
      </c>
      <c r="BE79" s="85">
        <f t="shared" si="21"/>
        <v>58.33</v>
      </c>
    </row>
    <row r="80" spans="1:57">
      <c r="A80" s="85">
        <f>tblCities!A50</f>
        <v>48</v>
      </c>
      <c r="B80" s="85">
        <f>tblCities!B50</f>
        <v>0</v>
      </c>
      <c r="C80" s="85" t="str">
        <f>tblCities!C50</f>
        <v>Zurich</v>
      </c>
      <c r="D80" s="85">
        <f>tblCities!H49</f>
        <v>1</v>
      </c>
      <c r="E80" s="85">
        <f>tblCities!I49</f>
        <v>0</v>
      </c>
      <c r="F80" s="85">
        <f>tblCities!J49</f>
        <v>0</v>
      </c>
      <c r="N80" s="85">
        <f t="shared" si="20"/>
        <v>3</v>
      </c>
      <c r="O80" s="85">
        <f t="shared" si="20"/>
        <v>1</v>
      </c>
      <c r="P80" s="85">
        <f t="shared" si="20"/>
        <v>0</v>
      </c>
      <c r="Q80" s="85">
        <f t="shared" si="20"/>
        <v>1</v>
      </c>
      <c r="R80" s="85">
        <f t="shared" si="20"/>
        <v>100</v>
      </c>
      <c r="S80" s="85">
        <f t="shared" si="20"/>
        <v>1</v>
      </c>
      <c r="T80" s="85">
        <f t="shared" si="20"/>
        <v>1</v>
      </c>
      <c r="U80" s="85">
        <f t="shared" si="20"/>
        <v>3</v>
      </c>
      <c r="V80" s="85">
        <f t="shared" si="20"/>
        <v>0.88</v>
      </c>
      <c r="W80" s="85">
        <f t="shared" si="20"/>
        <v>87.8</v>
      </c>
      <c r="X80" s="85">
        <f t="shared" si="19"/>
        <v>100</v>
      </c>
      <c r="Y80" s="85">
        <f t="shared" si="19"/>
        <v>4.4</v>
      </c>
      <c r="Z80" s="85">
        <f t="shared" si="19"/>
        <v>4.65</v>
      </c>
      <c r="AA80" s="85">
        <f t="shared" si="19"/>
        <v>100</v>
      </c>
      <c r="AB80" s="85">
        <f t="shared" si="19"/>
        <v>1</v>
      </c>
      <c r="AC80" s="85">
        <f t="shared" si="19"/>
        <v>14</v>
      </c>
      <c r="AD80" s="85">
        <f t="shared" si="19"/>
        <v>88.8</v>
      </c>
      <c r="AE80" s="85">
        <f t="shared" si="19"/>
        <v>83.52</v>
      </c>
      <c r="AF80" s="85">
        <f t="shared" si="19"/>
        <v>4.6</v>
      </c>
      <c r="AG80" s="85">
        <f t="shared" si="19"/>
        <v>92.48</v>
      </c>
      <c r="AH80" s="85">
        <f t="shared" si="22"/>
        <v>7</v>
      </c>
      <c r="AI80" s="85">
        <f t="shared" si="22"/>
        <v>5</v>
      </c>
      <c r="AJ80" s="85">
        <f t="shared" si="22"/>
        <v>1</v>
      </c>
      <c r="AK80" s="85">
        <f t="shared" si="22"/>
        <v>1</v>
      </c>
      <c r="AL80" s="85">
        <f t="shared" si="22"/>
        <v>1</v>
      </c>
      <c r="AM80" s="85">
        <f t="shared" si="22"/>
        <v>5</v>
      </c>
      <c r="AN80" s="85">
        <f t="shared" si="22"/>
        <v>888</v>
      </c>
      <c r="AO80" s="85">
        <f t="shared" si="22"/>
        <v>0.9</v>
      </c>
      <c r="AP80" s="85">
        <f t="shared" si="22"/>
        <v>4.2</v>
      </c>
      <c r="AQ80" s="85">
        <f t="shared" si="22"/>
        <v>1</v>
      </c>
      <c r="AR80" s="85">
        <f t="shared" si="21"/>
        <v>1</v>
      </c>
      <c r="AS80" s="85">
        <f t="shared" si="21"/>
        <v>1</v>
      </c>
      <c r="AT80" s="85">
        <f t="shared" si="21"/>
        <v>0</v>
      </c>
      <c r="AU80" s="85">
        <f t="shared" si="21"/>
        <v>1</v>
      </c>
      <c r="AV80" s="85">
        <f t="shared" si="21"/>
        <v>6</v>
      </c>
      <c r="AW80" s="85">
        <f t="shared" si="21"/>
        <v>10</v>
      </c>
      <c r="AX80" s="85">
        <f t="shared" si="21"/>
        <v>2</v>
      </c>
      <c r="AY80" s="85">
        <f t="shared" si="21"/>
        <v>1</v>
      </c>
      <c r="AZ80" s="85">
        <f t="shared" si="21"/>
        <v>4.5</v>
      </c>
      <c r="BA80" s="85">
        <f t="shared" si="21"/>
        <v>87</v>
      </c>
      <c r="BB80" s="85">
        <f t="shared" si="21"/>
        <v>0.2</v>
      </c>
      <c r="BC80" s="85">
        <f t="shared" si="21"/>
        <v>0.1</v>
      </c>
      <c r="BD80" s="85">
        <f t="shared" si="21"/>
        <v>569</v>
      </c>
      <c r="BE80" s="85">
        <f t="shared" si="21"/>
        <v>79.39</v>
      </c>
    </row>
    <row r="81" spans="1:57">
      <c r="A81" s="85">
        <f>tblCities!A51</f>
        <v>49</v>
      </c>
      <c r="B81" s="85">
        <f>tblCities!B51</f>
        <v>0</v>
      </c>
      <c r="C81" s="85" t="str">
        <f>tblCities!C51</f>
        <v>Istanbul</v>
      </c>
      <c r="D81" s="85">
        <f>tblCities!H50</f>
        <v>1</v>
      </c>
      <c r="E81" s="85">
        <f>tblCities!I50</f>
        <v>0</v>
      </c>
      <c r="F81" s="85">
        <f>tblCities!J50</f>
        <v>0</v>
      </c>
      <c r="N81" s="85">
        <f t="shared" si="20"/>
        <v>2</v>
      </c>
      <c r="O81" s="85">
        <f t="shared" si="20"/>
        <v>1</v>
      </c>
      <c r="P81" s="85">
        <f t="shared" si="20"/>
        <v>0</v>
      </c>
      <c r="Q81" s="85">
        <f t="shared" si="20"/>
        <v>0</v>
      </c>
      <c r="R81" s="85">
        <f t="shared" si="20"/>
        <v>75</v>
      </c>
      <c r="S81" s="85">
        <f t="shared" si="20"/>
        <v>1</v>
      </c>
      <c r="T81" s="85">
        <f t="shared" si="20"/>
        <v>5</v>
      </c>
      <c r="U81" s="85">
        <f t="shared" si="20"/>
        <v>4</v>
      </c>
      <c r="V81" s="85">
        <f t="shared" si="20"/>
        <v>0.466</v>
      </c>
      <c r="W81" s="85">
        <f t="shared" si="20"/>
        <v>31.1</v>
      </c>
      <c r="X81" s="85">
        <f t="shared" si="19"/>
        <v>50</v>
      </c>
      <c r="Y81" s="85">
        <f t="shared" si="19"/>
        <v>0.017</v>
      </c>
      <c r="Z81" s="85">
        <f t="shared" si="19"/>
        <v>0.94</v>
      </c>
      <c r="AA81" s="85">
        <f t="shared" si="19"/>
        <v>99.5</v>
      </c>
      <c r="AB81" s="85">
        <f t="shared" si="19"/>
        <v>3</v>
      </c>
      <c r="AC81" s="85">
        <f t="shared" si="19"/>
        <v>32</v>
      </c>
      <c r="AD81" s="85">
        <f t="shared" si="19"/>
        <v>55.9</v>
      </c>
      <c r="AE81" s="85">
        <f t="shared" si="19"/>
        <v>72.4</v>
      </c>
      <c r="AF81" s="85">
        <f t="shared" si="19"/>
        <v>5.5</v>
      </c>
      <c r="AG81" s="85">
        <f t="shared" si="19"/>
        <v>128.85</v>
      </c>
      <c r="AH81" s="85">
        <f t="shared" si="22"/>
        <v>8</v>
      </c>
      <c r="AI81" s="85">
        <f t="shared" si="22"/>
        <v>5</v>
      </c>
      <c r="AJ81" s="85">
        <f t="shared" si="22"/>
        <v>3</v>
      </c>
      <c r="AK81" s="85">
        <f t="shared" si="22"/>
        <v>2</v>
      </c>
      <c r="AL81" s="85">
        <f t="shared" si="22"/>
        <v>2</v>
      </c>
      <c r="AM81" s="85">
        <f t="shared" si="22"/>
        <v>7.92307692307692</v>
      </c>
      <c r="AN81" s="85">
        <f t="shared" si="22"/>
        <v>1574</v>
      </c>
      <c r="AO81" s="85">
        <f t="shared" si="22"/>
        <v>1.1</v>
      </c>
      <c r="AP81" s="85">
        <f t="shared" si="22"/>
        <v>13</v>
      </c>
      <c r="AQ81" s="85">
        <f t="shared" si="22"/>
        <v>1</v>
      </c>
      <c r="AR81" s="85">
        <f t="shared" si="21"/>
        <v>1</v>
      </c>
      <c r="AS81" s="85">
        <f t="shared" si="21"/>
        <v>1</v>
      </c>
      <c r="AT81" s="85">
        <f t="shared" si="21"/>
        <v>1</v>
      </c>
      <c r="AU81" s="85">
        <f t="shared" si="21"/>
        <v>1</v>
      </c>
      <c r="AV81" s="85">
        <f t="shared" si="21"/>
        <v>5.7</v>
      </c>
      <c r="AW81" s="85">
        <f t="shared" si="21"/>
        <v>55</v>
      </c>
      <c r="AX81" s="85">
        <f t="shared" si="21"/>
        <v>3</v>
      </c>
      <c r="AY81" s="85">
        <f t="shared" si="21"/>
        <v>3</v>
      </c>
      <c r="AZ81" s="85">
        <f t="shared" si="21"/>
        <v>17.16</v>
      </c>
      <c r="BA81" s="85">
        <f t="shared" si="21"/>
        <v>44</v>
      </c>
      <c r="BB81" s="85">
        <f t="shared" si="21"/>
        <v>0.1</v>
      </c>
      <c r="BC81" s="85">
        <f t="shared" si="21"/>
        <v>5.5</v>
      </c>
      <c r="BD81" s="85">
        <f t="shared" si="21"/>
        <v>1486</v>
      </c>
      <c r="BE81" s="85">
        <f t="shared" si="21"/>
        <v>59.86</v>
      </c>
    </row>
    <row r="82" spans="1:57">
      <c r="A82" s="85">
        <f>tblCities!A52</f>
        <v>50</v>
      </c>
      <c r="B82" s="85">
        <f>tblCities!B52</f>
        <v>0</v>
      </c>
      <c r="C82" s="85" t="str">
        <f>tblCities!C52</f>
        <v>London</v>
      </c>
      <c r="D82" s="85">
        <f>tblCities!H51</f>
        <v>1</v>
      </c>
      <c r="E82" s="85">
        <f>tblCities!I51</f>
        <v>0</v>
      </c>
      <c r="F82" s="85">
        <f>tblCities!J51</f>
        <v>1</v>
      </c>
      <c r="N82" s="85">
        <f t="shared" si="20"/>
        <v>3</v>
      </c>
      <c r="O82" s="85">
        <f t="shared" si="20"/>
        <v>2</v>
      </c>
      <c r="P82" s="85">
        <f t="shared" si="20"/>
        <v>0</v>
      </c>
      <c r="Q82" s="85">
        <f t="shared" si="20"/>
        <v>1</v>
      </c>
      <c r="R82" s="85">
        <f t="shared" si="20"/>
        <v>100</v>
      </c>
      <c r="S82" s="85">
        <f t="shared" si="20"/>
        <v>1</v>
      </c>
      <c r="T82" s="85">
        <f t="shared" si="20"/>
        <v>3</v>
      </c>
      <c r="U82" s="85">
        <f t="shared" si="20"/>
        <v>3</v>
      </c>
      <c r="V82" s="85">
        <f t="shared" si="20"/>
        <v>0.9</v>
      </c>
      <c r="W82" s="85">
        <f t="shared" si="20"/>
        <v>76.7</v>
      </c>
      <c r="X82" s="85">
        <f t="shared" si="19"/>
        <v>70</v>
      </c>
      <c r="Y82" s="85">
        <f t="shared" si="19"/>
        <v>2.2</v>
      </c>
      <c r="Z82" s="85">
        <f t="shared" si="19"/>
        <v>3.48</v>
      </c>
      <c r="AA82" s="85">
        <f t="shared" si="19"/>
        <v>100</v>
      </c>
      <c r="AB82" s="85">
        <f t="shared" si="19"/>
        <v>1.5</v>
      </c>
      <c r="AC82" s="85">
        <f t="shared" si="19"/>
        <v>16</v>
      </c>
      <c r="AD82" s="85">
        <f t="shared" si="19"/>
        <v>85.8</v>
      </c>
      <c r="AE82" s="85">
        <f t="shared" si="19"/>
        <v>81.61</v>
      </c>
      <c r="AF82" s="85">
        <f t="shared" si="19"/>
        <v>4.6</v>
      </c>
      <c r="AG82" s="85">
        <f t="shared" si="19"/>
        <v>171.43</v>
      </c>
      <c r="AH82" s="85">
        <f t="shared" si="22"/>
        <v>7.875</v>
      </c>
      <c r="AI82" s="85">
        <f t="shared" si="22"/>
        <v>0</v>
      </c>
      <c r="AJ82" s="85">
        <f t="shared" si="22"/>
        <v>2</v>
      </c>
      <c r="AK82" s="85">
        <f t="shared" si="22"/>
        <v>1</v>
      </c>
      <c r="AL82" s="85">
        <f t="shared" si="22"/>
        <v>1</v>
      </c>
      <c r="AM82" s="85">
        <f t="shared" si="22"/>
        <v>9.88095238095238</v>
      </c>
      <c r="AN82" s="85">
        <f t="shared" si="22"/>
        <v>217</v>
      </c>
      <c r="AO82" s="85">
        <f t="shared" si="22"/>
        <v>0.8</v>
      </c>
      <c r="AP82" s="85">
        <f t="shared" si="22"/>
        <v>24.1</v>
      </c>
      <c r="AQ82" s="85">
        <f t="shared" si="22"/>
        <v>1</v>
      </c>
      <c r="AR82" s="85">
        <f t="shared" si="21"/>
        <v>1</v>
      </c>
      <c r="AS82" s="85">
        <f t="shared" si="21"/>
        <v>1</v>
      </c>
      <c r="AT82" s="85">
        <f t="shared" si="21"/>
        <v>1</v>
      </c>
      <c r="AU82" s="85">
        <f t="shared" si="21"/>
        <v>1</v>
      </c>
      <c r="AV82" s="85">
        <f t="shared" si="21"/>
        <v>1.5</v>
      </c>
      <c r="AW82" s="85">
        <f t="shared" si="21"/>
        <v>30</v>
      </c>
      <c r="AX82" s="85">
        <f t="shared" si="21"/>
        <v>3</v>
      </c>
      <c r="AY82" s="85">
        <f t="shared" si="21"/>
        <v>2</v>
      </c>
      <c r="AZ82" s="85">
        <f t="shared" si="21"/>
        <v>61.96</v>
      </c>
      <c r="BA82" s="85">
        <f t="shared" si="21"/>
        <v>76</v>
      </c>
      <c r="BB82" s="85">
        <f t="shared" si="21"/>
        <v>1.9</v>
      </c>
      <c r="BC82" s="85">
        <f t="shared" si="21"/>
        <v>2.4</v>
      </c>
      <c r="BD82" s="85">
        <f t="shared" si="21"/>
        <v>10</v>
      </c>
      <c r="BE82" s="85">
        <f t="shared" si="21"/>
        <v>52.62</v>
      </c>
    </row>
  </sheetData>
  <sheetProtection selectLockedCells="1" selectUnlockedCells="1"/>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F20"/>
  <sheetViews>
    <sheetView showGridLines="0" showRowColHeaders="0" workbookViewId="0">
      <selection activeCell="A1" sqref="A1"/>
    </sheetView>
  </sheetViews>
  <sheetFormatPr defaultColWidth="9" defaultRowHeight="15" outlineLevelCol="5"/>
  <cols>
    <col min="1" max="1" width="3.71428571428571" style="145" customWidth="1"/>
    <col min="2" max="2" width="9.14285714285714" style="145"/>
    <col min="3" max="3" width="55" style="145" customWidth="1"/>
    <col min="4" max="4" width="9.14285714285714" style="145"/>
    <col min="5" max="5" width="55" style="145" customWidth="1"/>
    <col min="6" max="6" width="8" style="145" customWidth="1"/>
    <col min="7" max="15" width="9.14285714285714" style="145"/>
    <col min="16" max="16" width="3.71428571428571" style="145" customWidth="1"/>
    <col min="17" max="236" width="9.14285714285714" style="145"/>
    <col min="237" max="237" width="3.71428571428571" style="145" customWidth="1"/>
    <col min="238" max="251" width="9.14285714285714" style="145"/>
    <col min="252" max="252" width="3.71428571428571" style="145" customWidth="1"/>
    <col min="253" max="492" width="9.14285714285714" style="145"/>
    <col min="493" max="493" width="3.71428571428571" style="145" customWidth="1"/>
    <col min="494" max="507" width="9.14285714285714" style="145"/>
    <col min="508" max="508" width="3.71428571428571" style="145" customWidth="1"/>
    <col min="509" max="748" width="9.14285714285714" style="145"/>
    <col min="749" max="749" width="3.71428571428571" style="145" customWidth="1"/>
    <col min="750" max="763" width="9.14285714285714" style="145"/>
    <col min="764" max="764" width="3.71428571428571" style="145" customWidth="1"/>
    <col min="765" max="1004" width="9.14285714285714" style="145"/>
    <col min="1005" max="1005" width="3.71428571428571" style="145" customWidth="1"/>
    <col min="1006" max="1019" width="9.14285714285714" style="145"/>
    <col min="1020" max="1020" width="3.71428571428571" style="145" customWidth="1"/>
    <col min="1021" max="1260" width="9.14285714285714" style="145"/>
    <col min="1261" max="1261" width="3.71428571428571" style="145" customWidth="1"/>
    <col min="1262" max="1275" width="9.14285714285714" style="145"/>
    <col min="1276" max="1276" width="3.71428571428571" style="145" customWidth="1"/>
    <col min="1277" max="1516" width="9.14285714285714" style="145"/>
    <col min="1517" max="1517" width="3.71428571428571" style="145" customWidth="1"/>
    <col min="1518" max="1531" width="9.14285714285714" style="145"/>
    <col min="1532" max="1532" width="3.71428571428571" style="145" customWidth="1"/>
    <col min="1533" max="1772" width="9.14285714285714" style="145"/>
    <col min="1773" max="1773" width="3.71428571428571" style="145" customWidth="1"/>
    <col min="1774" max="1787" width="9.14285714285714" style="145"/>
    <col min="1788" max="1788" width="3.71428571428571" style="145" customWidth="1"/>
    <col min="1789" max="2028" width="9.14285714285714" style="145"/>
    <col min="2029" max="2029" width="3.71428571428571" style="145" customWidth="1"/>
    <col min="2030" max="2043" width="9.14285714285714" style="145"/>
    <col min="2044" max="2044" width="3.71428571428571" style="145" customWidth="1"/>
    <col min="2045" max="2284" width="9.14285714285714" style="145"/>
    <col min="2285" max="2285" width="3.71428571428571" style="145" customWidth="1"/>
    <col min="2286" max="2299" width="9.14285714285714" style="145"/>
    <col min="2300" max="2300" width="3.71428571428571" style="145" customWidth="1"/>
    <col min="2301" max="2540" width="9.14285714285714" style="145"/>
    <col min="2541" max="2541" width="3.71428571428571" style="145" customWidth="1"/>
    <col min="2542" max="2555" width="9.14285714285714" style="145"/>
    <col min="2556" max="2556" width="3.71428571428571" style="145" customWidth="1"/>
    <col min="2557" max="2796" width="9.14285714285714" style="145"/>
    <col min="2797" max="2797" width="3.71428571428571" style="145" customWidth="1"/>
    <col min="2798" max="2811" width="9.14285714285714" style="145"/>
    <col min="2812" max="2812" width="3.71428571428571" style="145" customWidth="1"/>
    <col min="2813" max="3052" width="9.14285714285714" style="145"/>
    <col min="3053" max="3053" width="3.71428571428571" style="145" customWidth="1"/>
    <col min="3054" max="3067" width="9.14285714285714" style="145"/>
    <col min="3068" max="3068" width="3.71428571428571" style="145" customWidth="1"/>
    <col min="3069" max="3308" width="9.14285714285714" style="145"/>
    <col min="3309" max="3309" width="3.71428571428571" style="145" customWidth="1"/>
    <col min="3310" max="3323" width="9.14285714285714" style="145"/>
    <col min="3324" max="3324" width="3.71428571428571" style="145" customWidth="1"/>
    <col min="3325" max="3564" width="9.14285714285714" style="145"/>
    <col min="3565" max="3565" width="3.71428571428571" style="145" customWidth="1"/>
    <col min="3566" max="3579" width="9.14285714285714" style="145"/>
    <col min="3580" max="3580" width="3.71428571428571" style="145" customWidth="1"/>
    <col min="3581" max="3820" width="9.14285714285714" style="145"/>
    <col min="3821" max="3821" width="3.71428571428571" style="145" customWidth="1"/>
    <col min="3822" max="3835" width="9.14285714285714" style="145"/>
    <col min="3836" max="3836" width="3.71428571428571" style="145" customWidth="1"/>
    <col min="3837" max="4076" width="9.14285714285714" style="145"/>
    <col min="4077" max="4077" width="3.71428571428571" style="145" customWidth="1"/>
    <col min="4078" max="4091" width="9.14285714285714" style="145"/>
    <col min="4092" max="4092" width="3.71428571428571" style="145" customWidth="1"/>
    <col min="4093" max="4332" width="9.14285714285714" style="145"/>
    <col min="4333" max="4333" width="3.71428571428571" style="145" customWidth="1"/>
    <col min="4334" max="4347" width="9.14285714285714" style="145"/>
    <col min="4348" max="4348" width="3.71428571428571" style="145" customWidth="1"/>
    <col min="4349" max="4588" width="9.14285714285714" style="145"/>
    <col min="4589" max="4589" width="3.71428571428571" style="145" customWidth="1"/>
    <col min="4590" max="4603" width="9.14285714285714" style="145"/>
    <col min="4604" max="4604" width="3.71428571428571" style="145" customWidth="1"/>
    <col min="4605" max="4844" width="9.14285714285714" style="145"/>
    <col min="4845" max="4845" width="3.71428571428571" style="145" customWidth="1"/>
    <col min="4846" max="4859" width="9.14285714285714" style="145"/>
    <col min="4860" max="4860" width="3.71428571428571" style="145" customWidth="1"/>
    <col min="4861" max="5100" width="9.14285714285714" style="145"/>
    <col min="5101" max="5101" width="3.71428571428571" style="145" customWidth="1"/>
    <col min="5102" max="5115" width="9.14285714285714" style="145"/>
    <col min="5116" max="5116" width="3.71428571428571" style="145" customWidth="1"/>
    <col min="5117" max="5356" width="9.14285714285714" style="145"/>
    <col min="5357" max="5357" width="3.71428571428571" style="145" customWidth="1"/>
    <col min="5358" max="5371" width="9.14285714285714" style="145"/>
    <col min="5372" max="5372" width="3.71428571428571" style="145" customWidth="1"/>
    <col min="5373" max="5612" width="9.14285714285714" style="145"/>
    <col min="5613" max="5613" width="3.71428571428571" style="145" customWidth="1"/>
    <col min="5614" max="5627" width="9.14285714285714" style="145"/>
    <col min="5628" max="5628" width="3.71428571428571" style="145" customWidth="1"/>
    <col min="5629" max="5868" width="9.14285714285714" style="145"/>
    <col min="5869" max="5869" width="3.71428571428571" style="145" customWidth="1"/>
    <col min="5870" max="5883" width="9.14285714285714" style="145"/>
    <col min="5884" max="5884" width="3.71428571428571" style="145" customWidth="1"/>
    <col min="5885" max="6124" width="9.14285714285714" style="145"/>
    <col min="6125" max="6125" width="3.71428571428571" style="145" customWidth="1"/>
    <col min="6126" max="6139" width="9.14285714285714" style="145"/>
    <col min="6140" max="6140" width="3.71428571428571" style="145" customWidth="1"/>
    <col min="6141" max="6380" width="9.14285714285714" style="145"/>
    <col min="6381" max="6381" width="3.71428571428571" style="145" customWidth="1"/>
    <col min="6382" max="6395" width="9.14285714285714" style="145"/>
    <col min="6396" max="6396" width="3.71428571428571" style="145" customWidth="1"/>
    <col min="6397" max="6636" width="9.14285714285714" style="145"/>
    <col min="6637" max="6637" width="3.71428571428571" style="145" customWidth="1"/>
    <col min="6638" max="6651" width="9.14285714285714" style="145"/>
    <col min="6652" max="6652" width="3.71428571428571" style="145" customWidth="1"/>
    <col min="6653" max="6892" width="9.14285714285714" style="145"/>
    <col min="6893" max="6893" width="3.71428571428571" style="145" customWidth="1"/>
    <col min="6894" max="6907" width="9.14285714285714" style="145"/>
    <col min="6908" max="6908" width="3.71428571428571" style="145" customWidth="1"/>
    <col min="6909" max="7148" width="9.14285714285714" style="145"/>
    <col min="7149" max="7149" width="3.71428571428571" style="145" customWidth="1"/>
    <col min="7150" max="7163" width="9.14285714285714" style="145"/>
    <col min="7164" max="7164" width="3.71428571428571" style="145" customWidth="1"/>
    <col min="7165" max="7404" width="9.14285714285714" style="145"/>
    <col min="7405" max="7405" width="3.71428571428571" style="145" customWidth="1"/>
    <col min="7406" max="7419" width="9.14285714285714" style="145"/>
    <col min="7420" max="7420" width="3.71428571428571" style="145" customWidth="1"/>
    <col min="7421" max="7660" width="9.14285714285714" style="145"/>
    <col min="7661" max="7661" width="3.71428571428571" style="145" customWidth="1"/>
    <col min="7662" max="7675" width="9.14285714285714" style="145"/>
    <col min="7676" max="7676" width="3.71428571428571" style="145" customWidth="1"/>
    <col min="7677" max="7916" width="9.14285714285714" style="145"/>
    <col min="7917" max="7917" width="3.71428571428571" style="145" customWidth="1"/>
    <col min="7918" max="7931" width="9.14285714285714" style="145"/>
    <col min="7932" max="7932" width="3.71428571428571" style="145" customWidth="1"/>
    <col min="7933" max="8172" width="9.14285714285714" style="145"/>
    <col min="8173" max="8173" width="3.71428571428571" style="145" customWidth="1"/>
    <col min="8174" max="8187" width="9.14285714285714" style="145"/>
    <col min="8188" max="8188" width="3.71428571428571" style="145" customWidth="1"/>
    <col min="8189" max="8428" width="9.14285714285714" style="145"/>
    <col min="8429" max="8429" width="3.71428571428571" style="145" customWidth="1"/>
    <col min="8430" max="8443" width="9.14285714285714" style="145"/>
    <col min="8444" max="8444" width="3.71428571428571" style="145" customWidth="1"/>
    <col min="8445" max="8684" width="9.14285714285714" style="145"/>
    <col min="8685" max="8685" width="3.71428571428571" style="145" customWidth="1"/>
    <col min="8686" max="8699" width="9.14285714285714" style="145"/>
    <col min="8700" max="8700" width="3.71428571428571" style="145" customWidth="1"/>
    <col min="8701" max="8940" width="9.14285714285714" style="145"/>
    <col min="8941" max="8941" width="3.71428571428571" style="145" customWidth="1"/>
    <col min="8942" max="8955" width="9.14285714285714" style="145"/>
    <col min="8956" max="8956" width="3.71428571428571" style="145" customWidth="1"/>
    <col min="8957" max="9196" width="9.14285714285714" style="145"/>
    <col min="9197" max="9197" width="3.71428571428571" style="145" customWidth="1"/>
    <col min="9198" max="9211" width="9.14285714285714" style="145"/>
    <col min="9212" max="9212" width="3.71428571428571" style="145" customWidth="1"/>
    <col min="9213" max="9452" width="9.14285714285714" style="145"/>
    <col min="9453" max="9453" width="3.71428571428571" style="145" customWidth="1"/>
    <col min="9454" max="9467" width="9.14285714285714" style="145"/>
    <col min="9468" max="9468" width="3.71428571428571" style="145" customWidth="1"/>
    <col min="9469" max="9708" width="9.14285714285714" style="145"/>
    <col min="9709" max="9709" width="3.71428571428571" style="145" customWidth="1"/>
    <col min="9710" max="9723" width="9.14285714285714" style="145"/>
    <col min="9724" max="9724" width="3.71428571428571" style="145" customWidth="1"/>
    <col min="9725" max="9964" width="9.14285714285714" style="145"/>
    <col min="9965" max="9965" width="3.71428571428571" style="145" customWidth="1"/>
    <col min="9966" max="9979" width="9.14285714285714" style="145"/>
    <col min="9980" max="9980" width="3.71428571428571" style="145" customWidth="1"/>
    <col min="9981" max="10220" width="9.14285714285714" style="145"/>
    <col min="10221" max="10221" width="3.71428571428571" style="145" customWidth="1"/>
    <col min="10222" max="10235" width="9.14285714285714" style="145"/>
    <col min="10236" max="10236" width="3.71428571428571" style="145" customWidth="1"/>
    <col min="10237" max="10476" width="9.14285714285714" style="145"/>
    <col min="10477" max="10477" width="3.71428571428571" style="145" customWidth="1"/>
    <col min="10478" max="10491" width="9.14285714285714" style="145"/>
    <col min="10492" max="10492" width="3.71428571428571" style="145" customWidth="1"/>
    <col min="10493" max="10732" width="9.14285714285714" style="145"/>
    <col min="10733" max="10733" width="3.71428571428571" style="145" customWidth="1"/>
    <col min="10734" max="10747" width="9.14285714285714" style="145"/>
    <col min="10748" max="10748" width="3.71428571428571" style="145" customWidth="1"/>
    <col min="10749" max="10988" width="9.14285714285714" style="145"/>
    <col min="10989" max="10989" width="3.71428571428571" style="145" customWidth="1"/>
    <col min="10990" max="11003" width="9.14285714285714" style="145"/>
    <col min="11004" max="11004" width="3.71428571428571" style="145" customWidth="1"/>
    <col min="11005" max="11244" width="9.14285714285714" style="145"/>
    <col min="11245" max="11245" width="3.71428571428571" style="145" customWidth="1"/>
    <col min="11246" max="11259" width="9.14285714285714" style="145"/>
    <col min="11260" max="11260" width="3.71428571428571" style="145" customWidth="1"/>
    <col min="11261" max="11500" width="9.14285714285714" style="145"/>
    <col min="11501" max="11501" width="3.71428571428571" style="145" customWidth="1"/>
    <col min="11502" max="11515" width="9.14285714285714" style="145"/>
    <col min="11516" max="11516" width="3.71428571428571" style="145" customWidth="1"/>
    <col min="11517" max="11756" width="9.14285714285714" style="145"/>
    <col min="11757" max="11757" width="3.71428571428571" style="145" customWidth="1"/>
    <col min="11758" max="11771" width="9.14285714285714" style="145"/>
    <col min="11772" max="11772" width="3.71428571428571" style="145" customWidth="1"/>
    <col min="11773" max="12012" width="9.14285714285714" style="145"/>
    <col min="12013" max="12013" width="3.71428571428571" style="145" customWidth="1"/>
    <col min="12014" max="12027" width="9.14285714285714" style="145"/>
    <col min="12028" max="12028" width="3.71428571428571" style="145" customWidth="1"/>
    <col min="12029" max="12268" width="9.14285714285714" style="145"/>
    <col min="12269" max="12269" width="3.71428571428571" style="145" customWidth="1"/>
    <col min="12270" max="12283" width="9.14285714285714" style="145"/>
    <col min="12284" max="12284" width="3.71428571428571" style="145" customWidth="1"/>
    <col min="12285" max="12524" width="9.14285714285714" style="145"/>
    <col min="12525" max="12525" width="3.71428571428571" style="145" customWidth="1"/>
    <col min="12526" max="12539" width="9.14285714285714" style="145"/>
    <col min="12540" max="12540" width="3.71428571428571" style="145" customWidth="1"/>
    <col min="12541" max="12780" width="9.14285714285714" style="145"/>
    <col min="12781" max="12781" width="3.71428571428571" style="145" customWidth="1"/>
    <col min="12782" max="12795" width="9.14285714285714" style="145"/>
    <col min="12796" max="12796" width="3.71428571428571" style="145" customWidth="1"/>
    <col min="12797" max="13036" width="9.14285714285714" style="145"/>
    <col min="13037" max="13037" width="3.71428571428571" style="145" customWidth="1"/>
    <col min="13038" max="13051" width="9.14285714285714" style="145"/>
    <col min="13052" max="13052" width="3.71428571428571" style="145" customWidth="1"/>
    <col min="13053" max="13292" width="9.14285714285714" style="145"/>
    <col min="13293" max="13293" width="3.71428571428571" style="145" customWidth="1"/>
    <col min="13294" max="13307" width="9.14285714285714" style="145"/>
    <col min="13308" max="13308" width="3.71428571428571" style="145" customWidth="1"/>
    <col min="13309" max="13548" width="9.14285714285714" style="145"/>
    <col min="13549" max="13549" width="3.71428571428571" style="145" customWidth="1"/>
    <col min="13550" max="13563" width="9.14285714285714" style="145"/>
    <col min="13564" max="13564" width="3.71428571428571" style="145" customWidth="1"/>
    <col min="13565" max="13804" width="9.14285714285714" style="145"/>
    <col min="13805" max="13805" width="3.71428571428571" style="145" customWidth="1"/>
    <col min="13806" max="13819" width="9.14285714285714" style="145"/>
    <col min="13820" max="13820" width="3.71428571428571" style="145" customWidth="1"/>
    <col min="13821" max="14060" width="9.14285714285714" style="145"/>
    <col min="14061" max="14061" width="3.71428571428571" style="145" customWidth="1"/>
    <col min="14062" max="14075" width="9.14285714285714" style="145"/>
    <col min="14076" max="14076" width="3.71428571428571" style="145" customWidth="1"/>
    <col min="14077" max="14316" width="9.14285714285714" style="145"/>
    <col min="14317" max="14317" width="3.71428571428571" style="145" customWidth="1"/>
    <col min="14318" max="14331" width="9.14285714285714" style="145"/>
    <col min="14332" max="14332" width="3.71428571428571" style="145" customWidth="1"/>
    <col min="14333" max="14572" width="9.14285714285714" style="145"/>
    <col min="14573" max="14573" width="3.71428571428571" style="145" customWidth="1"/>
    <col min="14574" max="14587" width="9.14285714285714" style="145"/>
    <col min="14588" max="14588" width="3.71428571428571" style="145" customWidth="1"/>
    <col min="14589" max="14828" width="9.14285714285714" style="145"/>
    <col min="14829" max="14829" width="3.71428571428571" style="145" customWidth="1"/>
    <col min="14830" max="14843" width="9.14285714285714" style="145"/>
    <col min="14844" max="14844" width="3.71428571428571" style="145" customWidth="1"/>
    <col min="14845" max="15084" width="9.14285714285714" style="145"/>
    <col min="15085" max="15085" width="3.71428571428571" style="145" customWidth="1"/>
    <col min="15086" max="15099" width="9.14285714285714" style="145"/>
    <col min="15100" max="15100" width="3.71428571428571" style="145" customWidth="1"/>
    <col min="15101" max="15340" width="9.14285714285714" style="145"/>
    <col min="15341" max="15341" width="3.71428571428571" style="145" customWidth="1"/>
    <col min="15342" max="15355" width="9.14285714285714" style="145"/>
    <col min="15356" max="15356" width="3.71428571428571" style="145" customWidth="1"/>
    <col min="15357" max="15596" width="9.14285714285714" style="145"/>
    <col min="15597" max="15597" width="3.71428571428571" style="145" customWidth="1"/>
    <col min="15598" max="15611" width="9.14285714285714" style="145"/>
    <col min="15612" max="15612" width="3.71428571428571" style="145" customWidth="1"/>
    <col min="15613" max="15852" width="9.14285714285714" style="145"/>
    <col min="15853" max="15853" width="3.71428571428571" style="145" customWidth="1"/>
    <col min="15854" max="15867" width="9.14285714285714" style="145"/>
    <col min="15868" max="15868" width="3.71428571428571" style="145" customWidth="1"/>
    <col min="15869" max="16108" width="9.14285714285714" style="145"/>
    <col min="16109" max="16109" width="3.71428571428571" style="145" customWidth="1"/>
    <col min="16110" max="16123" width="9.14285714285714" style="145"/>
    <col min="16124" max="16124" width="3.71428571428571" style="145" customWidth="1"/>
    <col min="16125" max="16384" width="9.14285714285714" style="145"/>
  </cols>
  <sheetData>
    <row r="1" ht="27.75" customHeight="1" spans="1:1">
      <c r="A1" s="145" t="s">
        <v>397</v>
      </c>
    </row>
    <row r="2" ht="33.75" customHeight="1"/>
    <row r="8" ht="126.75" customHeight="1"/>
    <row r="11" ht="24" customHeight="1"/>
    <row r="12" ht="29.25" customHeight="1" spans="3:5">
      <c r="C12" s="146" t="s">
        <v>1689</v>
      </c>
      <c r="D12" s="146"/>
      <c r="E12" s="146" t="s">
        <v>1690</v>
      </c>
    </row>
    <row r="13" ht="24" customHeight="1"/>
    <row r="14" ht="29.25" customHeight="1" spans="3:5">
      <c r="C14" s="146" t="s">
        <v>1691</v>
      </c>
      <c r="D14" s="146"/>
      <c r="E14" s="146" t="s">
        <v>1692</v>
      </c>
    </row>
    <row r="15" ht="24" customHeight="1"/>
    <row r="16" ht="34.5" customHeight="1" spans="3:5">
      <c r="C16" s="146" t="s">
        <v>1693</v>
      </c>
      <c r="D16" s="146"/>
      <c r="E16" s="146" t="s">
        <v>1694</v>
      </c>
    </row>
    <row r="17" ht="24" customHeight="1"/>
    <row r="18" ht="29.25" customHeight="1" spans="3:6">
      <c r="C18" s="146" t="s">
        <v>1695</v>
      </c>
      <c r="D18" s="146"/>
      <c r="E18" s="147" t="s">
        <v>1696</v>
      </c>
      <c r="F18" s="146"/>
    </row>
    <row r="20" spans="3:3">
      <c r="C20" s="148" t="s">
        <v>1697</v>
      </c>
    </row>
  </sheetData>
  <sheetProtection selectLockedCells="1" selectUnlockedCells="1"/>
  <pageMargins left="0.7" right="0.7" top="0.75" bottom="0.75" header="0.3" footer="0.3"/>
  <pageSetup paperSize="1" orientation="portrait"/>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pageSetUpPr fitToPage="1"/>
  </sheetPr>
  <dimension ref="A1:Y57"/>
  <sheetViews>
    <sheetView showGridLines="0" showRowColHeaders="0" workbookViewId="0">
      <selection activeCell="A1" sqref="A1"/>
    </sheetView>
  </sheetViews>
  <sheetFormatPr defaultColWidth="9" defaultRowHeight="15"/>
  <cols>
    <col min="1" max="1" width="4.42857142857143" customWidth="1"/>
    <col min="2" max="2" width="0.142857142857143" customWidth="1"/>
    <col min="3" max="3" width="4.28571428571429" customWidth="1"/>
    <col min="4" max="4" width="20" customWidth="1"/>
    <col min="5" max="5" width="5.57142857142857" customWidth="1"/>
    <col min="6" max="6" width="4.42857142857143" customWidth="1"/>
    <col min="7" max="7" width="2.85714285714286" hidden="1" customWidth="1"/>
    <col min="8" max="8" width="4.28571428571429" customWidth="1"/>
    <col min="9" max="9" width="20" customWidth="1"/>
    <col min="10" max="10" width="5.57142857142857" customWidth="1"/>
    <col min="11" max="11" width="4.42857142857143" customWidth="1"/>
    <col min="12" max="12" width="2" hidden="1" customWidth="1"/>
    <col min="13" max="13" width="4.28571428571429" customWidth="1"/>
    <col min="14" max="14" width="19.1428571428571" customWidth="1"/>
    <col min="15" max="15" width="5.57142857142857" customWidth="1"/>
    <col min="16" max="16" width="4.42857142857143" customWidth="1"/>
    <col min="17" max="17" width="2" hidden="1" customWidth="1"/>
    <col min="18" max="18" width="4.28571428571429" customWidth="1"/>
    <col min="19" max="19" width="20" customWidth="1"/>
    <col min="20" max="20" width="5.57142857142857" customWidth="1"/>
    <col min="21" max="21" width="4.42857142857143" customWidth="1"/>
    <col min="22" max="22" width="2" hidden="1" customWidth="1"/>
    <col min="23" max="23" width="4.28571428571429" customWidth="1"/>
    <col min="24" max="24" width="20.5714285714286" customWidth="1"/>
    <col min="25" max="25" width="5.57142857142857" customWidth="1"/>
    <col min="26" max="26" width="4.28571428571429" customWidth="1"/>
  </cols>
  <sheetData>
    <row r="1" ht="29.25" customHeight="1" spans="1:5">
      <c r="A1" s="2" t="s">
        <v>1698</v>
      </c>
      <c r="D1" t="s">
        <v>1699</v>
      </c>
      <c r="E1" s="1"/>
    </row>
    <row r="2" ht="21" customHeight="1"/>
    <row r="3" ht="37.5" customHeight="1"/>
    <row r="4" ht="13.5" customHeight="1"/>
    <row r="5" spans="3:3">
      <c r="C5" t="s">
        <v>1700</v>
      </c>
    </row>
    <row r="7" ht="33.75" customHeight="1" spans="3:25">
      <c r="C7" s="137" t="str">
        <f>iSummary!H13</f>
        <v>TOTAL SCORE</v>
      </c>
      <c r="D7" s="137"/>
      <c r="E7" s="137"/>
      <c r="F7" s="138"/>
      <c r="G7" s="138"/>
      <c r="H7" s="139" t="str">
        <f>iSummary!S13</f>
        <v>DIGITAL SECURITY</v>
      </c>
      <c r="I7" s="139"/>
      <c r="J7" s="139"/>
      <c r="K7" s="138"/>
      <c r="L7" s="138"/>
      <c r="M7" s="144" t="str">
        <f>iSummary!AC13</f>
        <v>HEALTH SECURITY</v>
      </c>
      <c r="N7" s="144"/>
      <c r="O7" s="144"/>
      <c r="P7" s="138"/>
      <c r="Q7" s="138"/>
      <c r="R7" s="144" t="str">
        <f>iSummary!AM13</f>
        <v>INFRASTRUCTURE SAFETY</v>
      </c>
      <c r="S7" s="144"/>
      <c r="T7" s="144"/>
      <c r="U7" s="138"/>
      <c r="V7" s="138"/>
      <c r="W7" s="144" t="str">
        <f>iSummary!AW13</f>
        <v>PERSONAL SAFETY</v>
      </c>
      <c r="X7" s="144"/>
      <c r="Y7" s="144"/>
    </row>
    <row r="8" ht="17.25" customHeight="1" spans="2:25">
      <c r="B8">
        <f>iSummary!G14</f>
        <v>2</v>
      </c>
      <c r="C8" s="123">
        <f>iSummary!H14</f>
        <v>1</v>
      </c>
      <c r="D8" s="107" t="str">
        <f>iSummary!I14</f>
        <v>Tokyo</v>
      </c>
      <c r="E8" s="140">
        <f>iSummary!J14</f>
        <v>85.63</v>
      </c>
      <c r="F8" s="141"/>
      <c r="G8" s="141">
        <f>iSummary!R14</f>
        <v>2</v>
      </c>
      <c r="H8" s="123">
        <f>iSummary!S14</f>
        <v>1</v>
      </c>
      <c r="I8" s="107" t="str">
        <f>iSummary!T14</f>
        <v>Tokyo</v>
      </c>
      <c r="J8" s="140">
        <f>iSummary!U14</f>
        <v>87.18</v>
      </c>
      <c r="K8" s="141"/>
      <c r="L8" s="141">
        <f>iSummary!AB14</f>
        <v>2</v>
      </c>
      <c r="M8" s="123">
        <f>iSummary!AC14</f>
        <v>1</v>
      </c>
      <c r="N8" s="107" t="str">
        <f>iSummary!AD14</f>
        <v>Zurich</v>
      </c>
      <c r="O8" s="140">
        <f>iSummary!AE14</f>
        <v>79.05</v>
      </c>
      <c r="P8" s="141"/>
      <c r="Q8" s="141">
        <f>iSummary!AL14</f>
        <v>2</v>
      </c>
      <c r="R8" s="123">
        <f>iSummary!AM14</f>
        <v>1</v>
      </c>
      <c r="S8" s="107" t="str">
        <f>iSummary!AN14</f>
        <v>Zurich</v>
      </c>
      <c r="T8" s="140">
        <f>iSummary!AO14</f>
        <v>92.63</v>
      </c>
      <c r="U8" s="141"/>
      <c r="V8" s="141">
        <f>iSummary!AV14</f>
        <v>2</v>
      </c>
      <c r="W8" s="123">
        <f>iSummary!AW14</f>
        <v>1</v>
      </c>
      <c r="X8" s="107" t="str">
        <f>iSummary!AX14</f>
        <v>Singapore</v>
      </c>
      <c r="Y8" s="140">
        <f>iSummary!AY14</f>
        <v>90.42</v>
      </c>
    </row>
    <row r="9" ht="17.25" customHeight="1" spans="2:25">
      <c r="B9">
        <f>iSummary!G15</f>
        <v>2</v>
      </c>
      <c r="C9" s="123">
        <f>iSummary!H15</f>
        <v>2</v>
      </c>
      <c r="D9" s="107" t="str">
        <f>iSummary!I15</f>
        <v>Singapore</v>
      </c>
      <c r="E9" s="140">
        <f>iSummary!J15</f>
        <v>84.61</v>
      </c>
      <c r="F9" s="142"/>
      <c r="G9" s="142">
        <f>iSummary!R15</f>
        <v>2</v>
      </c>
      <c r="H9" s="123">
        <f>iSummary!S15</f>
        <v>2</v>
      </c>
      <c r="I9" s="107" t="str">
        <f>iSummary!T15</f>
        <v>Singapore</v>
      </c>
      <c r="J9" s="140">
        <f>iSummary!U15</f>
        <v>83.85</v>
      </c>
      <c r="K9" s="142"/>
      <c r="L9" s="142">
        <f>iSummary!AB15</f>
        <v>2</v>
      </c>
      <c r="M9" s="123">
        <f>iSummary!AC15</f>
        <v>2</v>
      </c>
      <c r="N9" s="107" t="str">
        <f>iSummary!AD15</f>
        <v>New York</v>
      </c>
      <c r="O9" s="140">
        <f>iSummary!AE15</f>
        <v>78.52</v>
      </c>
      <c r="P9" s="142"/>
      <c r="Q9" s="142">
        <f>iSummary!AL15</f>
        <v>2</v>
      </c>
      <c r="R9" s="123">
        <f>iSummary!AM15</f>
        <v>2</v>
      </c>
      <c r="S9" s="107" t="str">
        <f>iSummary!AN15</f>
        <v>Melbourne</v>
      </c>
      <c r="T9" s="140">
        <f>iSummary!AO15</f>
        <v>92.28</v>
      </c>
      <c r="U9" s="142"/>
      <c r="V9" s="142">
        <f>iSummary!AV15</f>
        <v>2</v>
      </c>
      <c r="W9" s="123">
        <f>iSummary!AW15</f>
        <v>2</v>
      </c>
      <c r="X9" s="107" t="str">
        <f>iSummary!AX15</f>
        <v>Osaka</v>
      </c>
      <c r="Y9" s="140">
        <f>iSummary!AY15</f>
        <v>90.2</v>
      </c>
    </row>
    <row r="10" ht="17.25" customHeight="1" spans="2:25">
      <c r="B10">
        <f>iSummary!G16</f>
        <v>2</v>
      </c>
      <c r="C10" s="123">
        <f>iSummary!H16</f>
        <v>3</v>
      </c>
      <c r="D10" s="107" t="str">
        <f>iSummary!I16</f>
        <v>Osaka</v>
      </c>
      <c r="E10" s="140">
        <f>iSummary!J16</f>
        <v>82.36</v>
      </c>
      <c r="F10" s="142"/>
      <c r="G10" s="142">
        <f>iSummary!R16</f>
        <v>2</v>
      </c>
      <c r="H10" s="123">
        <f>iSummary!S16</f>
        <v>3</v>
      </c>
      <c r="I10" s="107" t="str">
        <f>iSummary!T16</f>
        <v>New York</v>
      </c>
      <c r="J10" s="140">
        <f>iSummary!U16</f>
        <v>79.42</v>
      </c>
      <c r="K10" s="142"/>
      <c r="L10" s="142">
        <f>iSummary!AB16</f>
        <v>2</v>
      </c>
      <c r="M10" s="123">
        <f>iSummary!AC16</f>
        <v>3</v>
      </c>
      <c r="N10" s="107" t="str">
        <f>iSummary!AD16</f>
        <v>Brussels</v>
      </c>
      <c r="O10" s="140">
        <f>iSummary!AE16</f>
        <v>77.63</v>
      </c>
      <c r="P10" s="142"/>
      <c r="Q10" s="142">
        <f>iSummary!AL16</f>
        <v>2</v>
      </c>
      <c r="R10" s="123">
        <f>iSummary!AM16</f>
        <v>3</v>
      </c>
      <c r="S10" s="107" t="str">
        <f>iSummary!AN16</f>
        <v>Sydney</v>
      </c>
      <c r="T10" s="140">
        <f>iSummary!AO16</f>
        <v>91.4</v>
      </c>
      <c r="U10" s="142"/>
      <c r="V10" s="142">
        <f>iSummary!AV16</f>
        <v>2</v>
      </c>
      <c r="W10" s="123">
        <f>iSummary!AW16</f>
        <v>3</v>
      </c>
      <c r="X10" s="107" t="str">
        <f>iSummary!AX16</f>
        <v>Tokyo</v>
      </c>
      <c r="Y10" s="140">
        <f>iSummary!AY16</f>
        <v>89.31</v>
      </c>
    </row>
    <row r="11" ht="17.25" customHeight="1" spans="2:25">
      <c r="B11">
        <f>iSummary!G17</f>
        <v>2</v>
      </c>
      <c r="C11" s="123">
        <f>iSummary!H17</f>
        <v>4</v>
      </c>
      <c r="D11" s="107" t="str">
        <f>iSummary!I17</f>
        <v>Stockholm</v>
      </c>
      <c r="E11" s="140">
        <f>iSummary!J17</f>
        <v>80.02</v>
      </c>
      <c r="F11" s="142"/>
      <c r="G11" s="142">
        <f>iSummary!R17</f>
        <v>2</v>
      </c>
      <c r="H11" s="123">
        <f>iSummary!S17</f>
        <v>4</v>
      </c>
      <c r="I11" s="107" t="str">
        <f>iSummary!T17</f>
        <v>Hong Kong</v>
      </c>
      <c r="J11" s="140">
        <f>iSummary!U17</f>
        <v>78.78</v>
      </c>
      <c r="K11" s="142"/>
      <c r="L11" s="142">
        <f>iSummary!AB17</f>
        <v>2</v>
      </c>
      <c r="M11" s="123">
        <f>iSummary!AC17</f>
        <v>4</v>
      </c>
      <c r="N11" s="107" t="str">
        <f>iSummary!AD17</f>
        <v>Frankfurt</v>
      </c>
      <c r="O11" s="140">
        <f>iSummary!AE17</f>
        <v>77.38</v>
      </c>
      <c r="P11" s="142"/>
      <c r="Q11" s="142">
        <f>iSummary!AL17</f>
        <v>2</v>
      </c>
      <c r="R11" s="123">
        <f>iSummary!AM17</f>
        <v>4</v>
      </c>
      <c r="S11" s="107" t="str">
        <f>iSummary!AN17</f>
        <v>Amsterdam</v>
      </c>
      <c r="T11" s="140">
        <f>iSummary!AO17</f>
        <v>91.27</v>
      </c>
      <c r="U11" s="142"/>
      <c r="V11" s="142">
        <f>iSummary!AV17</f>
        <v>2</v>
      </c>
      <c r="W11" s="123">
        <f>iSummary!AW17</f>
        <v>4</v>
      </c>
      <c r="X11" s="107" t="str">
        <f>iSummary!AX17</f>
        <v>Stockholm</v>
      </c>
      <c r="Y11" s="140">
        <f>iSummary!AY17</f>
        <v>87.51</v>
      </c>
    </row>
    <row r="12" ht="17.25" customHeight="1" spans="2:25">
      <c r="B12">
        <f>iSummary!G18</f>
        <v>2</v>
      </c>
      <c r="C12" s="123">
        <f>iSummary!H18</f>
        <v>5</v>
      </c>
      <c r="D12" s="107" t="str">
        <f>iSummary!I18</f>
        <v>Amsterdam</v>
      </c>
      <c r="E12" s="140">
        <f>iSummary!J18</f>
        <v>79.19</v>
      </c>
      <c r="F12" s="142"/>
      <c r="G12" s="142">
        <f>iSummary!R18</f>
        <v>2</v>
      </c>
      <c r="H12" s="123">
        <f>iSummary!S18</f>
        <v>5</v>
      </c>
      <c r="I12" s="107" t="str">
        <f>iSummary!T18</f>
        <v>Osaka</v>
      </c>
      <c r="J12" s="140">
        <f>iSummary!U18</f>
        <v>77</v>
      </c>
      <c r="K12" s="142"/>
      <c r="L12" s="142">
        <f>iSummary!AB18</f>
        <v>2</v>
      </c>
      <c r="M12" s="123">
        <f>iSummary!AC18</f>
        <v>5</v>
      </c>
      <c r="N12" s="107" t="str">
        <f>iSummary!AD18</f>
        <v>Paris</v>
      </c>
      <c r="O12" s="140">
        <f>iSummary!AE18</f>
        <v>76.95</v>
      </c>
      <c r="P12" s="142"/>
      <c r="Q12" s="142">
        <f>iSummary!AL18</f>
        <v>2</v>
      </c>
      <c r="R12" s="123">
        <f>iSummary!AM18</f>
        <v>5</v>
      </c>
      <c r="S12" s="107" t="str">
        <f>iSummary!AN18</f>
        <v>Tokyo</v>
      </c>
      <c r="T12" s="140">
        <f>iSummary!AO18</f>
        <v>89.79</v>
      </c>
      <c r="U12" s="142"/>
      <c r="V12" s="142">
        <f>iSummary!AV18</f>
        <v>2</v>
      </c>
      <c r="W12" s="123">
        <f>iSummary!AW18</f>
        <v>5</v>
      </c>
      <c r="X12" s="107" t="str">
        <f>iSummary!AX18</f>
        <v>Taipei</v>
      </c>
      <c r="Y12" s="140">
        <f>iSummary!AY18</f>
        <v>85.67</v>
      </c>
    </row>
    <row r="13" ht="17.25" customHeight="1" spans="2:25">
      <c r="B13">
        <f>iSummary!G19</f>
        <v>2</v>
      </c>
      <c r="C13" s="123">
        <f>iSummary!H19</f>
        <v>6</v>
      </c>
      <c r="D13" s="107" t="str">
        <f>iSummary!I19</f>
        <v>Sydney</v>
      </c>
      <c r="E13" s="140">
        <f>iSummary!J19</f>
        <v>78.91</v>
      </c>
      <c r="F13" s="142"/>
      <c r="G13" s="142">
        <f>iSummary!R19</f>
        <v>2</v>
      </c>
      <c r="H13" s="123">
        <f>iSummary!S19</f>
        <v>6</v>
      </c>
      <c r="I13" s="107" t="str">
        <f>iSummary!T19</f>
        <v>Los Angeles</v>
      </c>
      <c r="J13" s="140">
        <f>iSummary!U19</f>
        <v>74.99</v>
      </c>
      <c r="K13" s="142"/>
      <c r="L13" s="142">
        <f>iSummary!AB19</f>
        <v>2</v>
      </c>
      <c r="M13" s="123">
        <f>iSummary!AC19</f>
        <v>6</v>
      </c>
      <c r="N13" s="107" t="str">
        <f>iSummary!AD19</f>
        <v>Osaka</v>
      </c>
      <c r="O13" s="140">
        <f>iSummary!AE19</f>
        <v>76.55</v>
      </c>
      <c r="P13" s="142"/>
      <c r="Q13" s="142">
        <f>iSummary!AL19</f>
        <v>2</v>
      </c>
      <c r="R13" s="123">
        <f>iSummary!AM19</f>
        <v>6</v>
      </c>
      <c r="S13" s="107" t="str">
        <f>iSummary!AN19</f>
        <v>Montreal</v>
      </c>
      <c r="T13" s="140">
        <f>iSummary!AO19</f>
        <v>89.47</v>
      </c>
      <c r="U13" s="142"/>
      <c r="V13" s="142">
        <f>iSummary!AV19</f>
        <v>2</v>
      </c>
      <c r="W13" s="123">
        <f>iSummary!AW19</f>
        <v>6</v>
      </c>
      <c r="X13" s="107" t="str">
        <f>iSummary!AX19</f>
        <v>Hong Kong</v>
      </c>
      <c r="Y13" s="140">
        <f>iSummary!AY19</f>
        <v>85.09</v>
      </c>
    </row>
    <row r="14" ht="17.25" customHeight="1" spans="2:25">
      <c r="B14">
        <f>iSummary!G20</f>
        <v>2</v>
      </c>
      <c r="C14" s="123">
        <f>iSummary!H20</f>
        <v>7</v>
      </c>
      <c r="D14" s="107" t="str">
        <f>iSummary!I20</f>
        <v>Zurich</v>
      </c>
      <c r="E14" s="140">
        <f>iSummary!J20</f>
        <v>78.84</v>
      </c>
      <c r="F14" s="142"/>
      <c r="G14" s="142">
        <f>iSummary!R20</f>
        <v>2</v>
      </c>
      <c r="H14" s="123">
        <f>iSummary!S20</f>
        <v>7</v>
      </c>
      <c r="I14" s="107" t="str">
        <f>iSummary!T20</f>
        <v>Stockholm</v>
      </c>
      <c r="J14" s="140">
        <f>iSummary!U20</f>
        <v>74.82</v>
      </c>
      <c r="K14" s="142"/>
      <c r="L14" s="142">
        <f>iSummary!AB20</f>
        <v>2</v>
      </c>
      <c r="M14" s="123">
        <f>iSummary!AC20</f>
        <v>7</v>
      </c>
      <c r="N14" s="107" t="str">
        <f>iSummary!AD20</f>
        <v>Barcelona</v>
      </c>
      <c r="O14" s="140">
        <f>iSummary!AE20</f>
        <v>76.35</v>
      </c>
      <c r="P14" s="142"/>
      <c r="Q14" s="142">
        <f>iSummary!AL20</f>
        <v>2</v>
      </c>
      <c r="R14" s="123">
        <f>iSummary!AM20</f>
        <v>7</v>
      </c>
      <c r="S14" s="107" t="str">
        <f>iSummary!AN20</f>
        <v>Singapore</v>
      </c>
      <c r="T14" s="140">
        <f>iSummary!AO20</f>
        <v>88.86</v>
      </c>
      <c r="U14" s="142"/>
      <c r="V14" s="142">
        <f>iSummary!AV20</f>
        <v>2</v>
      </c>
      <c r="W14" s="123">
        <f>iSummary!AW20</f>
        <v>7</v>
      </c>
      <c r="X14" s="107" t="str">
        <f>iSummary!AX20</f>
        <v>Toronto</v>
      </c>
      <c r="Y14" s="140">
        <f>iSummary!AY20</f>
        <v>84.82</v>
      </c>
    </row>
    <row r="15" ht="17.25" customHeight="1" spans="2:25">
      <c r="B15">
        <f>iSummary!G21</f>
        <v>2</v>
      </c>
      <c r="C15" s="123">
        <f>iSummary!H21</f>
        <v>8</v>
      </c>
      <c r="D15" s="107" t="str">
        <f>iSummary!I21</f>
        <v>Toronto</v>
      </c>
      <c r="E15" s="140">
        <f>iSummary!J21</f>
        <v>78.81</v>
      </c>
      <c r="F15" s="142"/>
      <c r="G15" s="142">
        <f>iSummary!R21</f>
        <v>2</v>
      </c>
      <c r="H15" s="123">
        <f>iSummary!S21</f>
        <v>8</v>
      </c>
      <c r="I15" s="107" t="str">
        <f>iSummary!T21</f>
        <v>San Francisco</v>
      </c>
      <c r="J15" s="140">
        <f>iSummary!U21</f>
        <v>73.85</v>
      </c>
      <c r="K15" s="142"/>
      <c r="L15" s="142">
        <f>iSummary!AB21</f>
        <v>2</v>
      </c>
      <c r="M15" s="123">
        <f>iSummary!AC21</f>
        <v>8</v>
      </c>
      <c r="N15" s="107" t="str">
        <f>iSummary!AD21</f>
        <v>Tokyo</v>
      </c>
      <c r="O15" s="140">
        <f>iSummary!AE21</f>
        <v>76.26</v>
      </c>
      <c r="P15" s="142"/>
      <c r="Q15" s="142">
        <f>iSummary!AL21</f>
        <v>2</v>
      </c>
      <c r="R15" s="123">
        <f>iSummary!AM21</f>
        <v>8</v>
      </c>
      <c r="S15" s="107" t="str">
        <f>iSummary!AN21</f>
        <v>Toronto</v>
      </c>
      <c r="T15" s="140">
        <f>iSummary!AO21</f>
        <v>87.57</v>
      </c>
      <c r="U15" s="142"/>
      <c r="V15" s="142">
        <f>iSummary!AV21</f>
        <v>2</v>
      </c>
      <c r="W15" s="123">
        <f>iSummary!AW21</f>
        <v>8</v>
      </c>
      <c r="X15" s="107" t="str">
        <f>iSummary!AX21</f>
        <v>Melbourne</v>
      </c>
      <c r="Y15" s="140">
        <f>iSummary!AY21</f>
        <v>82.72</v>
      </c>
    </row>
    <row r="16" ht="17.25" customHeight="1" spans="2:25">
      <c r="B16">
        <f>iSummary!G22</f>
        <v>2</v>
      </c>
      <c r="C16" s="123">
        <f>iSummary!H22</f>
        <v>9</v>
      </c>
      <c r="D16" s="107" t="str">
        <f>iSummary!I22</f>
        <v>Melbourne</v>
      </c>
      <c r="E16" s="140">
        <f>iSummary!J22</f>
        <v>78.67</v>
      </c>
      <c r="F16" s="142"/>
      <c r="G16" s="142">
        <f>iSummary!R22</f>
        <v>3</v>
      </c>
      <c r="H16" s="123">
        <f>iSummary!S22</f>
        <v>9</v>
      </c>
      <c r="I16" s="107" t="str">
        <f>iSummary!T22</f>
        <v>Abu Dhabi</v>
      </c>
      <c r="J16" s="140">
        <f>iSummary!U22</f>
        <v>73.71</v>
      </c>
      <c r="K16" s="142"/>
      <c r="L16" s="142">
        <f>iSummary!AB22</f>
        <v>2</v>
      </c>
      <c r="M16" s="123">
        <f>iSummary!AC22</f>
        <v>9</v>
      </c>
      <c r="N16" s="107" t="str">
        <f>iSummary!AD22</f>
        <v>Taipei</v>
      </c>
      <c r="O16" s="140">
        <f>iSummary!AE22</f>
        <v>76</v>
      </c>
      <c r="P16" s="142"/>
      <c r="Q16" s="142">
        <f>iSummary!AL22</f>
        <v>2</v>
      </c>
      <c r="R16" s="123">
        <f>iSummary!AM22</f>
        <v>9</v>
      </c>
      <c r="S16" s="107" t="str">
        <f>iSummary!AN22</f>
        <v>Madrid</v>
      </c>
      <c r="T16" s="140">
        <f>iSummary!AO22</f>
        <v>87.28</v>
      </c>
      <c r="U16" s="142"/>
      <c r="V16" s="142">
        <f>iSummary!AV22</f>
        <v>2</v>
      </c>
      <c r="W16" s="123">
        <f>iSummary!AW22</f>
        <v>9</v>
      </c>
      <c r="X16" s="107" t="str">
        <f>iSummary!AX22</f>
        <v>Amsterdam</v>
      </c>
      <c r="Y16" s="140">
        <f>iSummary!AY22</f>
        <v>82.39</v>
      </c>
    </row>
    <row r="17" ht="17.25" customHeight="1" spans="2:25">
      <c r="B17">
        <f>iSummary!G23</f>
        <v>2</v>
      </c>
      <c r="C17" s="123">
        <f>iSummary!H23</f>
        <v>10</v>
      </c>
      <c r="D17" s="107" t="str">
        <f>iSummary!I23</f>
        <v>New York</v>
      </c>
      <c r="E17" s="140">
        <f>iSummary!J23</f>
        <v>78.08</v>
      </c>
      <c r="F17" s="142"/>
      <c r="G17" s="142">
        <f>iSummary!R23</f>
        <v>2</v>
      </c>
      <c r="H17" s="123">
        <f>iSummary!S23</f>
        <v>10</v>
      </c>
      <c r="I17" s="107" t="str">
        <f>iSummary!T23</f>
        <v>Chicago</v>
      </c>
      <c r="J17" s="140">
        <f>iSummary!U23</f>
        <v>72.9</v>
      </c>
      <c r="K17" s="142"/>
      <c r="L17" s="142">
        <f>iSummary!AB23</f>
        <v>2</v>
      </c>
      <c r="M17" s="123">
        <f>iSummary!AC23</f>
        <v>10</v>
      </c>
      <c r="N17" s="107" t="str">
        <f>iSummary!AD23</f>
        <v>Stockholm</v>
      </c>
      <c r="O17" s="140">
        <f>iSummary!AE23</f>
        <v>75.83</v>
      </c>
      <c r="P17" s="142"/>
      <c r="Q17" s="142">
        <f>iSummary!AL23</f>
        <v>2</v>
      </c>
      <c r="R17" s="123" t="str">
        <f>iSummary!AM23</f>
        <v>=10</v>
      </c>
      <c r="S17" s="107" t="str">
        <f>iSummary!AN23</f>
        <v>San Francisco</v>
      </c>
      <c r="T17" s="140">
        <f>iSummary!AO23</f>
        <v>86.16</v>
      </c>
      <c r="U17" s="142"/>
      <c r="V17" s="142">
        <f>iSummary!AV23</f>
        <v>2</v>
      </c>
      <c r="W17" s="123">
        <f>iSummary!AW23</f>
        <v>10</v>
      </c>
      <c r="X17" s="107" t="str">
        <f>iSummary!AX23</f>
        <v>Sydney</v>
      </c>
      <c r="Y17" s="140">
        <f>iSummary!AY23</f>
        <v>80.4</v>
      </c>
    </row>
    <row r="18" ht="17.25" customHeight="1" spans="2:25">
      <c r="B18">
        <f>iSummary!G24</f>
        <v>2</v>
      </c>
      <c r="C18" s="123">
        <f>iSummary!H24</f>
        <v>11</v>
      </c>
      <c r="D18" s="107" t="str">
        <f>iSummary!I24</f>
        <v>Hong Kong</v>
      </c>
      <c r="E18" s="140">
        <f>iSummary!J24</f>
        <v>77.24</v>
      </c>
      <c r="F18" s="142"/>
      <c r="G18" s="142">
        <f>iSummary!R24</f>
        <v>2</v>
      </c>
      <c r="H18" s="123" t="str">
        <f>iSummary!S24</f>
        <v>=11</v>
      </c>
      <c r="I18" s="107" t="str">
        <f>iSummary!T24</f>
        <v>Toronto</v>
      </c>
      <c r="J18" s="140">
        <f>iSummary!U24</f>
        <v>72.04</v>
      </c>
      <c r="K18" s="142"/>
      <c r="L18" s="142">
        <f>iSummary!AB24</f>
        <v>2</v>
      </c>
      <c r="M18" s="123">
        <f>iSummary!AC24</f>
        <v>11</v>
      </c>
      <c r="N18" s="107" t="str">
        <f>iSummary!AD24</f>
        <v>Madrid</v>
      </c>
      <c r="O18" s="140">
        <f>iSummary!AE24</f>
        <v>75.53</v>
      </c>
      <c r="P18" s="142"/>
      <c r="Q18" s="142">
        <f>iSummary!AL24</f>
        <v>3</v>
      </c>
      <c r="R18" s="123" t="str">
        <f>iSummary!AM24</f>
        <v>=10</v>
      </c>
      <c r="S18" s="107" t="str">
        <f>iSummary!AN24</f>
        <v>Abu Dhabi</v>
      </c>
      <c r="T18" s="140">
        <f>iSummary!AO24</f>
        <v>86.16</v>
      </c>
      <c r="U18" s="142"/>
      <c r="V18" s="142">
        <f>iSummary!AV24</f>
        <v>2</v>
      </c>
      <c r="W18" s="123">
        <f>iSummary!AW24</f>
        <v>11</v>
      </c>
      <c r="X18" s="107" t="str">
        <f>iSummary!AX24</f>
        <v>Barcelona</v>
      </c>
      <c r="Y18" s="140">
        <f>iSummary!AY24</f>
        <v>78.36</v>
      </c>
    </row>
    <row r="19" ht="17.25" customHeight="1" spans="2:25">
      <c r="B19">
        <f>iSummary!G25</f>
        <v>2</v>
      </c>
      <c r="C19" s="123">
        <f>iSummary!H25</f>
        <v>12</v>
      </c>
      <c r="D19" s="107" t="str">
        <f>iSummary!I25</f>
        <v>San Francisco</v>
      </c>
      <c r="E19" s="140">
        <f>iSummary!J25</f>
        <v>76.63</v>
      </c>
      <c r="F19" s="142"/>
      <c r="G19" s="142">
        <f>iSummary!R25</f>
        <v>2</v>
      </c>
      <c r="H19" s="123" t="str">
        <f>iSummary!S25</f>
        <v>=11</v>
      </c>
      <c r="I19" s="107" t="str">
        <f>iSummary!T25</f>
        <v>Montreal</v>
      </c>
      <c r="J19" s="140">
        <f>iSummary!U25</f>
        <v>72.04</v>
      </c>
      <c r="K19" s="142"/>
      <c r="L19" s="142">
        <f>iSummary!AB25</f>
        <v>2</v>
      </c>
      <c r="M19" s="123">
        <f>iSummary!AC25</f>
        <v>12</v>
      </c>
      <c r="N19" s="107" t="str">
        <f>iSummary!AD25</f>
        <v>Singapore</v>
      </c>
      <c r="O19" s="140">
        <f>iSummary!AE25</f>
        <v>75.31</v>
      </c>
      <c r="P19" s="142"/>
      <c r="Q19" s="142">
        <f>iSummary!AL25</f>
        <v>2</v>
      </c>
      <c r="R19" s="123">
        <f>iSummary!AM25</f>
        <v>12</v>
      </c>
      <c r="S19" s="107" t="str">
        <f>iSummary!AN25</f>
        <v>Osaka</v>
      </c>
      <c r="T19" s="140">
        <f>iSummary!AO25</f>
        <v>85.71</v>
      </c>
      <c r="U19" s="142"/>
      <c r="V19" s="142">
        <f>iSummary!AV25</f>
        <v>2</v>
      </c>
      <c r="W19" s="123">
        <f>iSummary!AW25</f>
        <v>12</v>
      </c>
      <c r="X19" s="107" t="str">
        <f>iSummary!AX25</f>
        <v>London</v>
      </c>
      <c r="Y19" s="140">
        <f>iSummary!AY25</f>
        <v>77.35</v>
      </c>
    </row>
    <row r="20" ht="17.25" customHeight="1" spans="2:25">
      <c r="B20">
        <f>iSummary!G26</f>
        <v>2</v>
      </c>
      <c r="C20" s="123">
        <f>iSummary!H26</f>
        <v>13</v>
      </c>
      <c r="D20" s="107" t="str">
        <f>iSummary!I26</f>
        <v>Taipei</v>
      </c>
      <c r="E20" s="140">
        <f>iSummary!J26</f>
        <v>76.51</v>
      </c>
      <c r="F20" s="142"/>
      <c r="G20" s="142">
        <f>iSummary!R26</f>
        <v>2</v>
      </c>
      <c r="H20" s="123">
        <f>iSummary!S26</f>
        <v>13</v>
      </c>
      <c r="I20" s="107" t="str">
        <f>iSummary!T26</f>
        <v>Santiago</v>
      </c>
      <c r="J20" s="140">
        <f>iSummary!U26</f>
        <v>70.51</v>
      </c>
      <c r="K20" s="142"/>
      <c r="L20" s="142">
        <f>iSummary!AB26</f>
        <v>2</v>
      </c>
      <c r="M20" s="123">
        <f>iSummary!AC26</f>
        <v>13</v>
      </c>
      <c r="N20" s="107" t="str">
        <f>iSummary!AD26</f>
        <v>Amsterdam</v>
      </c>
      <c r="O20" s="140">
        <f>iSummary!AE26</f>
        <v>74.28</v>
      </c>
      <c r="P20" s="142"/>
      <c r="Q20" s="142">
        <f>iSummary!AL26</f>
        <v>2</v>
      </c>
      <c r="R20" s="123">
        <f>iSummary!AM26</f>
        <v>13</v>
      </c>
      <c r="S20" s="107" t="str">
        <f>iSummary!AN26</f>
        <v>Chicago</v>
      </c>
      <c r="T20" s="140">
        <f>iSummary!AO26</f>
        <v>85.69</v>
      </c>
      <c r="U20" s="142"/>
      <c r="V20" s="142">
        <f>iSummary!AV26</f>
        <v>2</v>
      </c>
      <c r="W20" s="123">
        <f>iSummary!AW26</f>
        <v>13</v>
      </c>
      <c r="X20" s="107" t="str">
        <f>iSummary!AX26</f>
        <v>Zurich</v>
      </c>
      <c r="Y20" s="140">
        <f>iSummary!AY26</f>
        <v>76.62</v>
      </c>
    </row>
    <row r="21" ht="17.25" customHeight="1" spans="2:25">
      <c r="B21">
        <f>iSummary!G27</f>
        <v>2</v>
      </c>
      <c r="C21" s="123">
        <f>iSummary!H27</f>
        <v>14</v>
      </c>
      <c r="D21" s="107" t="str">
        <f>iSummary!I27</f>
        <v>Montreal</v>
      </c>
      <c r="E21" s="140">
        <f>iSummary!J27</f>
        <v>75.6</v>
      </c>
      <c r="F21" s="142"/>
      <c r="G21" s="142">
        <f>iSummary!R27</f>
        <v>2</v>
      </c>
      <c r="H21" s="123">
        <f>iSummary!S27</f>
        <v>14</v>
      </c>
      <c r="I21" s="107" t="str">
        <f>iSummary!T27</f>
        <v>Sydney</v>
      </c>
      <c r="J21" s="140">
        <f>iSummary!U27</f>
        <v>70.48</v>
      </c>
      <c r="K21" s="142"/>
      <c r="L21" s="142">
        <f>iSummary!AB27</f>
        <v>2</v>
      </c>
      <c r="M21" s="123">
        <f>iSummary!AC27</f>
        <v>14</v>
      </c>
      <c r="N21" s="107" t="str">
        <f>iSummary!AD27</f>
        <v>Melbourne</v>
      </c>
      <c r="O21" s="140">
        <f>iSummary!AE27</f>
        <v>74.27</v>
      </c>
      <c r="P21" s="142"/>
      <c r="Q21" s="142">
        <f>iSummary!AL27</f>
        <v>2</v>
      </c>
      <c r="R21" s="123">
        <f>iSummary!AM27</f>
        <v>14</v>
      </c>
      <c r="S21" s="107" t="str">
        <f>iSummary!AN27</f>
        <v>Barcelona</v>
      </c>
      <c r="T21" s="140">
        <f>iSummary!AO27</f>
        <v>85.65</v>
      </c>
      <c r="U21" s="142"/>
      <c r="V21" s="142">
        <f>iSummary!AV27</f>
        <v>4</v>
      </c>
      <c r="W21" s="123">
        <f>iSummary!AW27</f>
        <v>14</v>
      </c>
      <c r="X21" s="107" t="str">
        <f>iSummary!AX27</f>
        <v>Doha</v>
      </c>
      <c r="Y21" s="140">
        <f>iSummary!AY27</f>
        <v>76.41</v>
      </c>
    </row>
    <row r="22" ht="17.25" customHeight="1" spans="2:25">
      <c r="B22">
        <f>iSummary!G28</f>
        <v>2</v>
      </c>
      <c r="C22" s="123">
        <f>iSummary!H28</f>
        <v>15</v>
      </c>
      <c r="D22" s="107" t="str">
        <f>iSummary!I28</f>
        <v>Barcelona</v>
      </c>
      <c r="E22" s="140">
        <f>iSummary!J28</f>
        <v>75.16</v>
      </c>
      <c r="F22" s="142"/>
      <c r="G22" s="142">
        <f>iSummary!R28</f>
        <v>2</v>
      </c>
      <c r="H22" s="123">
        <f>iSummary!S28</f>
        <v>15</v>
      </c>
      <c r="I22" s="107" t="str">
        <f>iSummary!T28</f>
        <v>Washington DC</v>
      </c>
      <c r="J22" s="140">
        <f>iSummary!U28</f>
        <v>69.99</v>
      </c>
      <c r="K22" s="142"/>
      <c r="L22" s="142">
        <f>iSummary!AB28</f>
        <v>2</v>
      </c>
      <c r="M22" s="123">
        <f>iSummary!AC28</f>
        <v>15</v>
      </c>
      <c r="N22" s="107" t="str">
        <f>iSummary!AD28</f>
        <v>Hong Kong</v>
      </c>
      <c r="O22" s="140">
        <f>iSummary!AE28</f>
        <v>73.61</v>
      </c>
      <c r="P22" s="142"/>
      <c r="Q22" s="142">
        <f>iSummary!AL28</f>
        <v>2</v>
      </c>
      <c r="R22" s="123">
        <f>iSummary!AM28</f>
        <v>15</v>
      </c>
      <c r="S22" s="107" t="str">
        <f>iSummary!AN28</f>
        <v>Seoul</v>
      </c>
      <c r="T22" s="140">
        <f>iSummary!AO28</f>
        <v>85.64</v>
      </c>
      <c r="U22" s="142"/>
      <c r="V22" s="142">
        <f>iSummary!AV28</f>
        <v>2</v>
      </c>
      <c r="W22" s="123">
        <f>iSummary!AW28</f>
        <v>15</v>
      </c>
      <c r="X22" s="107" t="str">
        <f>iSummary!AX28</f>
        <v>Lima</v>
      </c>
      <c r="Y22" s="140">
        <f>iSummary!AY28</f>
        <v>74.81</v>
      </c>
    </row>
    <row r="23" ht="17.25" customHeight="1" spans="2:25">
      <c r="B23">
        <f>iSummary!G29</f>
        <v>2</v>
      </c>
      <c r="C23" s="123">
        <f>iSummary!H29</f>
        <v>16</v>
      </c>
      <c r="D23" s="107" t="str">
        <f>iSummary!I29</f>
        <v>Chicago</v>
      </c>
      <c r="E23" s="140">
        <f>iSummary!J29</f>
        <v>74.89</v>
      </c>
      <c r="F23" s="142"/>
      <c r="G23" s="142">
        <f>iSummary!R29</f>
        <v>2</v>
      </c>
      <c r="H23" s="123">
        <f>iSummary!S29</f>
        <v>16</v>
      </c>
      <c r="I23" s="107" t="str">
        <f>iSummary!T29</f>
        <v>London</v>
      </c>
      <c r="J23" s="140">
        <f>iSummary!U29</f>
        <v>69.42</v>
      </c>
      <c r="K23" s="142"/>
      <c r="L23" s="142">
        <f>iSummary!AB29</f>
        <v>2</v>
      </c>
      <c r="M23" s="123">
        <f>iSummary!AC29</f>
        <v>16</v>
      </c>
      <c r="N23" s="107" t="str">
        <f>iSummary!AD29</f>
        <v>San Francisco</v>
      </c>
      <c r="O23" s="140">
        <f>iSummary!AE29</f>
        <v>73.53</v>
      </c>
      <c r="P23" s="142"/>
      <c r="Q23" s="142">
        <f>iSummary!AL29</f>
        <v>2</v>
      </c>
      <c r="R23" s="123">
        <f>iSummary!AM29</f>
        <v>16</v>
      </c>
      <c r="S23" s="107" t="str">
        <f>iSummary!AN29</f>
        <v>New York</v>
      </c>
      <c r="T23" s="140">
        <f>iSummary!AO29</f>
        <v>84.93</v>
      </c>
      <c r="U23" s="142"/>
      <c r="V23" s="142">
        <f>iSummary!AV29</f>
        <v>2</v>
      </c>
      <c r="W23" s="123">
        <f>iSummary!AW29</f>
        <v>16</v>
      </c>
      <c r="X23" s="107" t="str">
        <f>iSummary!AX29</f>
        <v>Frankfurt</v>
      </c>
      <c r="Y23" s="140">
        <f>iSummary!AY29</f>
        <v>74.57</v>
      </c>
    </row>
    <row r="24" ht="17.25" customHeight="1" spans="2:25">
      <c r="B24">
        <f>iSummary!G30</f>
        <v>2</v>
      </c>
      <c r="C24" s="123">
        <f>iSummary!H30</f>
        <v>17</v>
      </c>
      <c r="D24" s="107" t="str">
        <f>iSummary!I30</f>
        <v>Los Angeles</v>
      </c>
      <c r="E24" s="140">
        <f>iSummary!J30</f>
        <v>74.24</v>
      </c>
      <c r="F24" s="142"/>
      <c r="G24" s="142">
        <f>iSummary!R30</f>
        <v>2</v>
      </c>
      <c r="H24" s="123">
        <f>iSummary!S30</f>
        <v>17</v>
      </c>
      <c r="I24" s="107" t="str">
        <f>iSummary!T30</f>
        <v>Amsterdam</v>
      </c>
      <c r="J24" s="140">
        <f>iSummary!U30</f>
        <v>68.81</v>
      </c>
      <c r="K24" s="142"/>
      <c r="L24" s="142">
        <f>iSummary!AB30</f>
        <v>2</v>
      </c>
      <c r="M24" s="123">
        <f>iSummary!AC30</f>
        <v>17</v>
      </c>
      <c r="N24" s="107" t="str">
        <f>iSummary!AD30</f>
        <v>Sydney</v>
      </c>
      <c r="O24" s="140">
        <f>iSummary!AE30</f>
        <v>73.35</v>
      </c>
      <c r="P24" s="142"/>
      <c r="Q24" s="142">
        <f>iSummary!AL30</f>
        <v>2</v>
      </c>
      <c r="R24" s="123">
        <f>iSummary!AM30</f>
        <v>17</v>
      </c>
      <c r="S24" s="107" t="str">
        <f>iSummary!AN30</f>
        <v>Brussels</v>
      </c>
      <c r="T24" s="140">
        <f>iSummary!AO30</f>
        <v>84.34</v>
      </c>
      <c r="U24" s="142"/>
      <c r="V24" s="142">
        <f>iSummary!AV30</f>
        <v>2</v>
      </c>
      <c r="W24" s="123">
        <f>iSummary!AW30</f>
        <v>17</v>
      </c>
      <c r="X24" s="107" t="str">
        <f>iSummary!AX30</f>
        <v>Washington DC</v>
      </c>
      <c r="Y24" s="140">
        <f>iSummary!AY30</f>
        <v>73.95</v>
      </c>
    </row>
    <row r="25" ht="17.25" customHeight="1" spans="2:25">
      <c r="B25">
        <f>iSummary!G31</f>
        <v>2</v>
      </c>
      <c r="C25" s="123">
        <f>iSummary!H31</f>
        <v>18</v>
      </c>
      <c r="D25" s="107" t="str">
        <f>iSummary!I31</f>
        <v>London</v>
      </c>
      <c r="E25" s="140">
        <f>iSummary!J31</f>
        <v>73.83</v>
      </c>
      <c r="F25" s="142"/>
      <c r="G25" s="142">
        <f>iSummary!R31</f>
        <v>2</v>
      </c>
      <c r="H25" s="123">
        <f>iSummary!S31</f>
        <v>18</v>
      </c>
      <c r="I25" s="107" t="str">
        <f>iSummary!T31</f>
        <v>Mumbai</v>
      </c>
      <c r="J25" s="140">
        <f>iSummary!U31</f>
        <v>68.07</v>
      </c>
      <c r="K25" s="142"/>
      <c r="L25" s="142">
        <f>iSummary!AB31</f>
        <v>2</v>
      </c>
      <c r="M25" s="123">
        <f>iSummary!AC31</f>
        <v>18</v>
      </c>
      <c r="N25" s="107" t="str">
        <f>iSummary!AD31</f>
        <v>Seoul</v>
      </c>
      <c r="O25" s="140">
        <f>iSummary!AE31</f>
        <v>72.86</v>
      </c>
      <c r="P25" s="142"/>
      <c r="Q25" s="142">
        <f>iSummary!AL31</f>
        <v>2</v>
      </c>
      <c r="R25" s="123">
        <f>iSummary!AM31</f>
        <v>18</v>
      </c>
      <c r="S25" s="107" t="str">
        <f>iSummary!AN31</f>
        <v>Rome</v>
      </c>
      <c r="T25" s="140">
        <f>iSummary!AO31</f>
        <v>83.77</v>
      </c>
      <c r="U25" s="142"/>
      <c r="V25" s="142">
        <f>iSummary!AV31</f>
        <v>2</v>
      </c>
      <c r="W25" s="123">
        <f>iSummary!AW31</f>
        <v>18</v>
      </c>
      <c r="X25" s="107" t="str">
        <f>iSummary!AX31</f>
        <v>Istanbul</v>
      </c>
      <c r="Y25" s="140">
        <f>iSummary!AY31</f>
        <v>73.7</v>
      </c>
    </row>
    <row r="26" ht="17.25" customHeight="1" spans="2:25">
      <c r="B26">
        <f>iSummary!G32</f>
        <v>2</v>
      </c>
      <c r="C26" s="123">
        <f>iSummary!H32</f>
        <v>19</v>
      </c>
      <c r="D26" s="107" t="str">
        <f>iSummary!I32</f>
        <v>Washington DC</v>
      </c>
      <c r="E26" s="140">
        <f>iSummary!J32</f>
        <v>73.37</v>
      </c>
      <c r="F26" s="143"/>
      <c r="G26" s="143">
        <f>iSummary!R32</f>
        <v>2</v>
      </c>
      <c r="H26" s="123">
        <f>iSummary!S32</f>
        <v>19</v>
      </c>
      <c r="I26" s="107" t="str">
        <f>iSummary!T32</f>
        <v>Zurich</v>
      </c>
      <c r="J26" s="140">
        <f>iSummary!U32</f>
        <v>67.04</v>
      </c>
      <c r="K26" s="143"/>
      <c r="L26" s="143">
        <f>iSummary!AB32</f>
        <v>2</v>
      </c>
      <c r="M26" s="123">
        <f>iSummary!AC32</f>
        <v>19</v>
      </c>
      <c r="N26" s="107" t="str">
        <f>iSummary!AD32</f>
        <v>Washington DC</v>
      </c>
      <c r="O26" s="140">
        <f>iSummary!AE32</f>
        <v>72.53</v>
      </c>
      <c r="P26" s="143"/>
      <c r="Q26" s="143">
        <f>iSummary!AL32</f>
        <v>2</v>
      </c>
      <c r="R26" s="123">
        <f>iSummary!AM32</f>
        <v>19</v>
      </c>
      <c r="S26" s="107" t="str">
        <f>iSummary!AN32</f>
        <v>Los Angeles</v>
      </c>
      <c r="T26" s="140">
        <f>iSummary!AO32</f>
        <v>83.72</v>
      </c>
      <c r="U26" s="143"/>
      <c r="V26" s="143">
        <f>iSummary!AV32</f>
        <v>2</v>
      </c>
      <c r="W26" s="123">
        <f>iSummary!AW32</f>
        <v>19</v>
      </c>
      <c r="X26" s="107" t="str">
        <f>iSummary!AX32</f>
        <v>Seoul</v>
      </c>
      <c r="Y26" s="140">
        <f>iSummary!AY32</f>
        <v>73.62</v>
      </c>
    </row>
    <row r="27" ht="17.25" customHeight="1" spans="2:25">
      <c r="B27">
        <f>iSummary!G33</f>
        <v>2</v>
      </c>
      <c r="C27" s="123">
        <f>iSummary!H33</f>
        <v>20</v>
      </c>
      <c r="D27" s="107" t="str">
        <f>iSummary!I33</f>
        <v>Frankfurt</v>
      </c>
      <c r="E27" s="140">
        <f>iSummary!J33</f>
        <v>73.05</v>
      </c>
      <c r="F27" s="143"/>
      <c r="G27" s="143">
        <f>iSummary!R33</f>
        <v>2</v>
      </c>
      <c r="H27" s="123">
        <f>iSummary!S33</f>
        <v>20</v>
      </c>
      <c r="I27" s="107" t="str">
        <f>iSummary!T33</f>
        <v>Melbourne</v>
      </c>
      <c r="J27" s="140">
        <f>iSummary!U33</f>
        <v>65.42</v>
      </c>
      <c r="K27" s="143"/>
      <c r="L27" s="143">
        <f>iSummary!AB33</f>
        <v>2</v>
      </c>
      <c r="M27" s="123">
        <f>iSummary!AC33</f>
        <v>20</v>
      </c>
      <c r="N27" s="107" t="str">
        <f>iSummary!AD33</f>
        <v>Montreal</v>
      </c>
      <c r="O27" s="140">
        <f>iSummary!AE33</f>
        <v>72.4</v>
      </c>
      <c r="P27" s="143"/>
      <c r="Q27" s="143">
        <f>iSummary!AL33</f>
        <v>2</v>
      </c>
      <c r="R27" s="123">
        <f>iSummary!AM33</f>
        <v>20</v>
      </c>
      <c r="S27" s="107" t="str">
        <f>iSummary!AN33</f>
        <v>Frankfurt</v>
      </c>
      <c r="T27" s="140">
        <f>iSummary!AO33</f>
        <v>82.79</v>
      </c>
      <c r="U27" s="143"/>
      <c r="V27" s="143">
        <f>iSummary!AV33</f>
        <v>2</v>
      </c>
      <c r="W27" s="123">
        <f>iSummary!AW33</f>
        <v>20</v>
      </c>
      <c r="X27" s="107" t="str">
        <f>iSummary!AX33</f>
        <v>Mumbai</v>
      </c>
      <c r="Y27" s="140">
        <f>iSummary!AY33</f>
        <v>73.61</v>
      </c>
    </row>
    <row r="28" ht="17.25" customHeight="1" spans="2:25">
      <c r="B28">
        <f>iSummary!G34</f>
        <v>2</v>
      </c>
      <c r="C28" s="123">
        <f>iSummary!H34</f>
        <v>21</v>
      </c>
      <c r="D28" s="107" t="str">
        <f>iSummary!I34</f>
        <v>Madrid</v>
      </c>
      <c r="E28" s="140">
        <f>iSummary!J34</f>
        <v>72.35</v>
      </c>
      <c r="F28" s="143"/>
      <c r="G28" s="143">
        <f>iSummary!R34</f>
        <v>2</v>
      </c>
      <c r="H28" s="123">
        <f>iSummary!S34</f>
        <v>21</v>
      </c>
      <c r="I28" s="107" t="str">
        <f>iSummary!T34</f>
        <v>Taipei</v>
      </c>
      <c r="J28" s="140">
        <f>iSummary!U34</f>
        <v>65.11</v>
      </c>
      <c r="K28" s="143"/>
      <c r="L28" s="143">
        <f>iSummary!AB34</f>
        <v>2</v>
      </c>
      <c r="M28" s="123">
        <f>iSummary!AC34</f>
        <v>21</v>
      </c>
      <c r="N28" s="107" t="str">
        <f>iSummary!AD34</f>
        <v>Toronto</v>
      </c>
      <c r="O28" s="140">
        <f>iSummary!AE34</f>
        <v>70.8</v>
      </c>
      <c r="P28" s="143"/>
      <c r="Q28" s="143">
        <f>iSummary!AL34</f>
        <v>2</v>
      </c>
      <c r="R28" s="123">
        <f>iSummary!AM34</f>
        <v>21</v>
      </c>
      <c r="S28" s="107" t="str">
        <f>iSummary!AN34</f>
        <v>Stockholm</v>
      </c>
      <c r="T28" s="140">
        <f>iSummary!AO34</f>
        <v>81.92</v>
      </c>
      <c r="U28" s="143"/>
      <c r="V28" s="143">
        <f>iSummary!AV34</f>
        <v>2</v>
      </c>
      <c r="W28" s="123">
        <f>iSummary!AW34</f>
        <v>21</v>
      </c>
      <c r="X28" s="107" t="str">
        <f>iSummary!AX34</f>
        <v>San Francisco</v>
      </c>
      <c r="Y28" s="140">
        <f>iSummary!AY34</f>
        <v>72.96</v>
      </c>
    </row>
    <row r="29" ht="17.25" customHeight="1" spans="2:25">
      <c r="B29">
        <f>iSummary!G35</f>
        <v>2</v>
      </c>
      <c r="C29" s="123">
        <f>iSummary!H35</f>
        <v>22</v>
      </c>
      <c r="D29" s="107" t="str">
        <f>iSummary!I35</f>
        <v>Brussels</v>
      </c>
      <c r="E29" s="140">
        <f>iSummary!J35</f>
        <v>71.72</v>
      </c>
      <c r="F29" s="143"/>
      <c r="G29" s="143">
        <f>iSummary!R35</f>
        <v>2</v>
      </c>
      <c r="H29" s="123">
        <f>iSummary!S35</f>
        <v>22</v>
      </c>
      <c r="I29" s="107" t="str">
        <f>iSummary!T35</f>
        <v>Brussels</v>
      </c>
      <c r="J29" s="140">
        <f>iSummary!U35</f>
        <v>64.6</v>
      </c>
      <c r="K29" s="143"/>
      <c r="L29" s="143">
        <f>iSummary!AB35</f>
        <v>2</v>
      </c>
      <c r="M29" s="123">
        <f>iSummary!AC35</f>
        <v>22</v>
      </c>
      <c r="N29" s="107" t="str">
        <f>iSummary!AD35</f>
        <v>London</v>
      </c>
      <c r="O29" s="140">
        <f>iSummary!AE35</f>
        <v>69.78</v>
      </c>
      <c r="P29" s="143"/>
      <c r="Q29" s="143">
        <f>iSummary!AL35</f>
        <v>2</v>
      </c>
      <c r="R29" s="123">
        <f>iSummary!AM35</f>
        <v>22</v>
      </c>
      <c r="S29" s="107" t="str">
        <f>iSummary!AN35</f>
        <v>Taipei</v>
      </c>
      <c r="T29" s="140">
        <f>iSummary!AO35</f>
        <v>79.25</v>
      </c>
      <c r="U29" s="143"/>
      <c r="V29" s="143">
        <f>iSummary!AV35</f>
        <v>2</v>
      </c>
      <c r="W29" s="123">
        <f>iSummary!AW35</f>
        <v>22</v>
      </c>
      <c r="X29" s="107" t="str">
        <f>iSummary!AX35</f>
        <v>Delhi</v>
      </c>
      <c r="Y29" s="140">
        <f>iSummary!AY35</f>
        <v>72.7</v>
      </c>
    </row>
    <row r="30" ht="17.25" customHeight="1" spans="2:25">
      <c r="B30">
        <f>iSummary!G36</f>
        <v>2</v>
      </c>
      <c r="C30" s="123">
        <f>iSummary!H36</f>
        <v>23</v>
      </c>
      <c r="D30" s="107" t="str">
        <f>iSummary!I36</f>
        <v>Paris</v>
      </c>
      <c r="E30" s="140">
        <f>iSummary!J36</f>
        <v>71.21</v>
      </c>
      <c r="F30" s="143"/>
      <c r="G30" s="143">
        <f>iSummary!R36</f>
        <v>2</v>
      </c>
      <c r="H30" s="123">
        <f>iSummary!S36</f>
        <v>23</v>
      </c>
      <c r="I30" s="107" t="str">
        <f>iSummary!T36</f>
        <v>Kuwait City</v>
      </c>
      <c r="J30" s="140">
        <f>iSummary!U36</f>
        <v>64.21</v>
      </c>
      <c r="K30" s="143"/>
      <c r="L30" s="143">
        <f>iSummary!AB36</f>
        <v>2</v>
      </c>
      <c r="M30" s="123">
        <f>iSummary!AC36</f>
        <v>23</v>
      </c>
      <c r="N30" s="107" t="str">
        <f>iSummary!AD36</f>
        <v>Chicago</v>
      </c>
      <c r="O30" s="140">
        <f>iSummary!AE36</f>
        <v>69.71</v>
      </c>
      <c r="P30" s="143"/>
      <c r="Q30" s="143">
        <f>iSummary!AL36</f>
        <v>2</v>
      </c>
      <c r="R30" s="123">
        <f>iSummary!AM36</f>
        <v>23</v>
      </c>
      <c r="S30" s="107" t="str">
        <f>iSummary!AN36</f>
        <v>Milan</v>
      </c>
      <c r="T30" s="140">
        <f>iSummary!AO36</f>
        <v>78.91</v>
      </c>
      <c r="U30" s="143"/>
      <c r="V30" s="143">
        <f>iSummary!AV36</f>
        <v>2</v>
      </c>
      <c r="W30" s="123">
        <f>iSummary!AW36</f>
        <v>23</v>
      </c>
      <c r="X30" s="107" t="str">
        <f>iSummary!AX36</f>
        <v>Los Angeles</v>
      </c>
      <c r="Y30" s="140">
        <f>iSummary!AY36</f>
        <v>71.66</v>
      </c>
    </row>
    <row r="31" ht="17.25" customHeight="1" spans="2:25">
      <c r="B31">
        <f>iSummary!G37</f>
        <v>2</v>
      </c>
      <c r="C31" s="123">
        <f>iSummary!H37</f>
        <v>24</v>
      </c>
      <c r="D31" s="107" t="str">
        <f>iSummary!I37</f>
        <v>Seoul</v>
      </c>
      <c r="E31" s="140">
        <f>iSummary!J37</f>
        <v>70.9</v>
      </c>
      <c r="F31" s="143"/>
      <c r="G31" s="143">
        <f>iSummary!R37</f>
        <v>2</v>
      </c>
      <c r="H31" s="123">
        <f>iSummary!S37</f>
        <v>24</v>
      </c>
      <c r="I31" s="107" t="str">
        <f>iSummary!T37</f>
        <v>Delhi</v>
      </c>
      <c r="J31" s="140">
        <f>iSummary!U37</f>
        <v>63.33</v>
      </c>
      <c r="K31" s="143"/>
      <c r="L31" s="143">
        <f>iSummary!AB37</f>
        <v>2</v>
      </c>
      <c r="M31" s="123">
        <f>iSummary!AC37</f>
        <v>24</v>
      </c>
      <c r="N31" s="107" t="str">
        <f>iSummary!AD37</f>
        <v>Moscow</v>
      </c>
      <c r="O31" s="140">
        <f>iSummary!AE37</f>
        <v>68.93</v>
      </c>
      <c r="P31" s="143"/>
      <c r="Q31" s="143">
        <f>iSummary!AL37</f>
        <v>2</v>
      </c>
      <c r="R31" s="123">
        <f>iSummary!AM37</f>
        <v>24</v>
      </c>
      <c r="S31" s="107" t="str">
        <f>iSummary!AN37</f>
        <v>Santiago</v>
      </c>
      <c r="T31" s="140">
        <f>iSummary!AO37</f>
        <v>78.83</v>
      </c>
      <c r="U31" s="143"/>
      <c r="V31" s="143">
        <f>iSummary!AV37</f>
        <v>2</v>
      </c>
      <c r="W31" s="123">
        <f>iSummary!AW37</f>
        <v>24</v>
      </c>
      <c r="X31" s="107" t="str">
        <f>iSummary!AX37</f>
        <v>Paris</v>
      </c>
      <c r="Y31" s="140">
        <f>iSummary!AY37</f>
        <v>71.29</v>
      </c>
    </row>
    <row r="32" ht="17.25" customHeight="1" spans="2:25">
      <c r="B32">
        <f>iSummary!G38</f>
        <v>3</v>
      </c>
      <c r="C32" s="123">
        <f>iSummary!H38</f>
        <v>25</v>
      </c>
      <c r="D32" s="107" t="str">
        <f>iSummary!I38</f>
        <v>Abu Dhabi</v>
      </c>
      <c r="E32" s="140">
        <f>iSummary!J38</f>
        <v>69.83</v>
      </c>
      <c r="F32" s="143"/>
      <c r="G32" s="143">
        <f>iSummary!R38</f>
        <v>2</v>
      </c>
      <c r="H32" s="123">
        <f>iSummary!S38</f>
        <v>25</v>
      </c>
      <c r="I32" s="107" t="str">
        <f>iSummary!T38</f>
        <v>Shenzhen</v>
      </c>
      <c r="J32" s="140">
        <f>iSummary!U38</f>
        <v>62.74</v>
      </c>
      <c r="K32" s="143"/>
      <c r="L32" s="143">
        <f>iSummary!AB38</f>
        <v>2</v>
      </c>
      <c r="M32" s="123">
        <f>iSummary!AC38</f>
        <v>25</v>
      </c>
      <c r="N32" s="107" t="str">
        <f>iSummary!AD38</f>
        <v>Rome</v>
      </c>
      <c r="O32" s="140">
        <f>iSummary!AE38</f>
        <v>67.13</v>
      </c>
      <c r="P32" s="143"/>
      <c r="Q32" s="143">
        <f>iSummary!AL38</f>
        <v>2</v>
      </c>
      <c r="R32" s="123">
        <f>iSummary!AM38</f>
        <v>25</v>
      </c>
      <c r="S32" s="107" t="str">
        <f>iSummary!AN38</f>
        <v>London</v>
      </c>
      <c r="T32" s="140">
        <f>iSummary!AO38</f>
        <v>78.78</v>
      </c>
      <c r="U32" s="143"/>
      <c r="V32" s="143">
        <f>iSummary!AV38</f>
        <v>2</v>
      </c>
      <c r="W32" s="123">
        <f>iSummary!AW38</f>
        <v>25</v>
      </c>
      <c r="X32" s="107" t="str">
        <f>iSummary!AX38</f>
        <v>Chicago</v>
      </c>
      <c r="Y32" s="140">
        <f>iSummary!AY38</f>
        <v>71.27</v>
      </c>
    </row>
    <row r="33" ht="17.25" customHeight="1" spans="2:25">
      <c r="B33">
        <f>iSummary!G39</f>
        <v>2</v>
      </c>
      <c r="C33" s="123">
        <f>iSummary!H39</f>
        <v>26</v>
      </c>
      <c r="D33" s="107" t="str">
        <f>iSummary!I39</f>
        <v>Milan</v>
      </c>
      <c r="E33" s="140">
        <f>iSummary!J39</f>
        <v>69.64</v>
      </c>
      <c r="F33" s="143"/>
      <c r="G33" s="143">
        <f>iSummary!R39</f>
        <v>2</v>
      </c>
      <c r="H33" s="123">
        <f>iSummary!S39</f>
        <v>26</v>
      </c>
      <c r="I33" s="107" t="str">
        <f>iSummary!T39</f>
        <v>Milan</v>
      </c>
      <c r="J33" s="140">
        <f>iSummary!U39</f>
        <v>62.62</v>
      </c>
      <c r="K33" s="143"/>
      <c r="L33" s="143">
        <f>iSummary!AB39</f>
        <v>2</v>
      </c>
      <c r="M33" s="123">
        <f>iSummary!AC39</f>
        <v>26</v>
      </c>
      <c r="N33" s="107" t="str">
        <f>iSummary!AD39</f>
        <v>Los Angeles</v>
      </c>
      <c r="O33" s="140">
        <f>iSummary!AE39</f>
        <v>66.57</v>
      </c>
      <c r="P33" s="143"/>
      <c r="Q33" s="143">
        <f>iSummary!AL39</f>
        <v>2</v>
      </c>
      <c r="R33" s="123">
        <f>iSummary!AM39</f>
        <v>26</v>
      </c>
      <c r="S33" s="107" t="str">
        <f>iSummary!AN39</f>
        <v>Paris</v>
      </c>
      <c r="T33" s="140">
        <f>iSummary!AO39</f>
        <v>78.22</v>
      </c>
      <c r="U33" s="143"/>
      <c r="V33" s="143">
        <f>iSummary!AV39</f>
        <v>2</v>
      </c>
      <c r="W33" s="123">
        <f>iSummary!AW39</f>
        <v>26</v>
      </c>
      <c r="X33" s="107" t="str">
        <f>iSummary!AX39</f>
        <v>Bangkok</v>
      </c>
      <c r="Y33" s="140">
        <f>iSummary!AY39</f>
        <v>70.97</v>
      </c>
    </row>
    <row r="34" ht="17.25" customHeight="1" spans="2:25">
      <c r="B34">
        <f>iSummary!G40</f>
        <v>2</v>
      </c>
      <c r="C34" s="123">
        <f>iSummary!H40</f>
        <v>27</v>
      </c>
      <c r="D34" s="107" t="str">
        <f>iSummary!I40</f>
        <v>Rome</v>
      </c>
      <c r="E34" s="140">
        <f>iSummary!J40</f>
        <v>67.13</v>
      </c>
      <c r="F34" s="143"/>
      <c r="G34" s="143">
        <f>iSummary!R40</f>
        <v>2</v>
      </c>
      <c r="H34" s="123">
        <f>iSummary!S40</f>
        <v>27</v>
      </c>
      <c r="I34" s="107" t="str">
        <f>iSummary!T40</f>
        <v>Mexico City</v>
      </c>
      <c r="J34" s="140">
        <f>iSummary!U40</f>
        <v>61.69</v>
      </c>
      <c r="K34" s="143"/>
      <c r="L34" s="143">
        <f>iSummary!AB40</f>
        <v>2</v>
      </c>
      <c r="M34" s="123">
        <f>iSummary!AC40</f>
        <v>27</v>
      </c>
      <c r="N34" s="107" t="str">
        <f>iSummary!AD40</f>
        <v>Milan</v>
      </c>
      <c r="O34" s="140">
        <f>iSummary!AE40</f>
        <v>66.16</v>
      </c>
      <c r="P34" s="143"/>
      <c r="Q34" s="143">
        <f>iSummary!AL40</f>
        <v>2</v>
      </c>
      <c r="R34" s="123">
        <f>iSummary!AM40</f>
        <v>27</v>
      </c>
      <c r="S34" s="107" t="str">
        <f>iSummary!AN40</f>
        <v>Istanbul</v>
      </c>
      <c r="T34" s="140">
        <f>iSummary!AO40</f>
        <v>77.71</v>
      </c>
      <c r="U34" s="143"/>
      <c r="V34" s="143">
        <f>iSummary!AV40</f>
        <v>2</v>
      </c>
      <c r="W34" s="123">
        <f>iSummary!AW40</f>
        <v>27</v>
      </c>
      <c r="X34" s="107" t="str">
        <f>iSummary!AX40</f>
        <v>Milan</v>
      </c>
      <c r="Y34" s="140">
        <f>iSummary!AY40</f>
        <v>70.87</v>
      </c>
    </row>
    <row r="35" ht="17.25" customHeight="1" spans="2:25">
      <c r="B35">
        <f>iSummary!G41</f>
        <v>2</v>
      </c>
      <c r="C35" s="123">
        <f>iSummary!H41</f>
        <v>28</v>
      </c>
      <c r="D35" s="107" t="str">
        <f>iSummary!I41</f>
        <v>Santiago</v>
      </c>
      <c r="E35" s="140">
        <f>iSummary!J41</f>
        <v>66.98</v>
      </c>
      <c r="F35" s="143"/>
      <c r="G35" s="143">
        <f>iSummary!R41</f>
        <v>2</v>
      </c>
      <c r="H35" s="123">
        <f>iSummary!S41</f>
        <v>28</v>
      </c>
      <c r="I35" s="107" t="str">
        <f>iSummary!T41</f>
        <v>Madrid</v>
      </c>
      <c r="J35" s="140">
        <f>iSummary!U41</f>
        <v>60.78</v>
      </c>
      <c r="K35" s="143"/>
      <c r="L35" s="143">
        <f>iSummary!AB41</f>
        <v>2</v>
      </c>
      <c r="M35" s="123">
        <f>iSummary!AC41</f>
        <v>28</v>
      </c>
      <c r="N35" s="107" t="str">
        <f>iSummary!AD41</f>
        <v>Santiago</v>
      </c>
      <c r="O35" s="140">
        <f>iSummary!AE41</f>
        <v>65.02</v>
      </c>
      <c r="P35" s="143"/>
      <c r="Q35" s="143">
        <f>iSummary!AL41</f>
        <v>2</v>
      </c>
      <c r="R35" s="123">
        <f>iSummary!AM41</f>
        <v>28</v>
      </c>
      <c r="S35" s="107" t="str">
        <f>iSummary!AN41</f>
        <v>Buenos Aires</v>
      </c>
      <c r="T35" s="140">
        <f>iSummary!AO41</f>
        <v>77.03</v>
      </c>
      <c r="U35" s="143"/>
      <c r="V35" s="143">
        <f>iSummary!AV41</f>
        <v>2</v>
      </c>
      <c r="W35" s="123">
        <f>iSummary!AW41</f>
        <v>28</v>
      </c>
      <c r="X35" s="107" t="str">
        <f>iSummary!AX41</f>
        <v>New York</v>
      </c>
      <c r="Y35" s="140">
        <f>iSummary!AY41</f>
        <v>69.45</v>
      </c>
    </row>
    <row r="36" ht="17.25" customHeight="1" spans="2:25">
      <c r="B36">
        <f>iSummary!G42</f>
        <v>4</v>
      </c>
      <c r="C36" s="123">
        <f>iSummary!H42</f>
        <v>29</v>
      </c>
      <c r="D36" s="107" t="str">
        <f>iSummary!I42</f>
        <v>Doha</v>
      </c>
      <c r="E36" s="140">
        <f>iSummary!J42</f>
        <v>66.41</v>
      </c>
      <c r="F36" s="143"/>
      <c r="G36" s="143">
        <f>iSummary!R42</f>
        <v>2</v>
      </c>
      <c r="H36" s="123">
        <f>iSummary!S42</f>
        <v>29</v>
      </c>
      <c r="I36" s="107" t="str">
        <f>iSummary!T42</f>
        <v>Barcelona</v>
      </c>
      <c r="J36" s="140">
        <f>iSummary!U42</f>
        <v>60.29</v>
      </c>
      <c r="K36" s="143"/>
      <c r="L36" s="143">
        <f>iSummary!AB42</f>
        <v>2</v>
      </c>
      <c r="M36" s="123">
        <f>iSummary!AC42</f>
        <v>29</v>
      </c>
      <c r="N36" s="107" t="str">
        <f>iSummary!AD42</f>
        <v>Buenos Aires</v>
      </c>
      <c r="O36" s="140">
        <f>iSummary!AE42</f>
        <v>64.64</v>
      </c>
      <c r="P36" s="143"/>
      <c r="Q36" s="143">
        <f>iSummary!AL42</f>
        <v>2</v>
      </c>
      <c r="R36" s="123">
        <f>iSummary!AM42</f>
        <v>29</v>
      </c>
      <c r="S36" s="107" t="str">
        <f>iSummary!AN42</f>
        <v>Washington DC</v>
      </c>
      <c r="T36" s="140">
        <f>iSummary!AO42</f>
        <v>77</v>
      </c>
      <c r="U36" s="143"/>
      <c r="V36" s="143">
        <f>iSummary!AV42</f>
        <v>2</v>
      </c>
      <c r="W36" s="123">
        <f>iSummary!AW42</f>
        <v>29</v>
      </c>
      <c r="X36" s="107" t="str">
        <f>iSummary!AX42</f>
        <v>Montreal</v>
      </c>
      <c r="Y36" s="140">
        <f>iSummary!AY42</f>
        <v>68.48</v>
      </c>
    </row>
    <row r="37" ht="17.25" customHeight="1" spans="2:25">
      <c r="B37">
        <f>iSummary!G43</f>
        <v>2</v>
      </c>
      <c r="C37" s="123">
        <f>iSummary!H43</f>
        <v>30</v>
      </c>
      <c r="D37" s="107" t="str">
        <f>iSummary!I43</f>
        <v>Shanghai</v>
      </c>
      <c r="E37" s="140">
        <f>iSummary!J43</f>
        <v>65.93</v>
      </c>
      <c r="F37" s="143"/>
      <c r="G37" s="143">
        <f>iSummary!R43</f>
        <v>2</v>
      </c>
      <c r="H37" s="123">
        <f>iSummary!S43</f>
        <v>30</v>
      </c>
      <c r="I37" s="107" t="str">
        <f>iSummary!T43</f>
        <v>Buenos Aires</v>
      </c>
      <c r="J37" s="140">
        <f>iSummary!U43</f>
        <v>59.58</v>
      </c>
      <c r="K37" s="143"/>
      <c r="L37" s="143">
        <f>iSummary!AB43</f>
        <v>2</v>
      </c>
      <c r="M37" s="123">
        <f>iSummary!AC43</f>
        <v>30</v>
      </c>
      <c r="N37" s="107" t="str">
        <f>iSummary!AD43</f>
        <v>Beijing </v>
      </c>
      <c r="O37" s="140">
        <f>iSummary!AE43</f>
        <v>64.1</v>
      </c>
      <c r="P37" s="143"/>
      <c r="Q37" s="143">
        <f>iSummary!AL43</f>
        <v>2</v>
      </c>
      <c r="R37" s="123">
        <f>iSummary!AM43</f>
        <v>30</v>
      </c>
      <c r="S37" s="107" t="str">
        <f>iSummary!AN43</f>
        <v>Shanghai</v>
      </c>
      <c r="T37" s="140">
        <f>iSummary!AO43</f>
        <v>76.63</v>
      </c>
      <c r="U37" s="143"/>
      <c r="V37" s="143">
        <f>iSummary!AV43</f>
        <v>2</v>
      </c>
      <c r="W37" s="123">
        <f>iSummary!AW43</f>
        <v>30</v>
      </c>
      <c r="X37" s="107" t="str">
        <f>iSummary!AX43</f>
        <v>Shanghai</v>
      </c>
      <c r="Y37" s="140">
        <f>iSummary!AY43</f>
        <v>67.66</v>
      </c>
    </row>
    <row r="38" ht="17.25" customHeight="1" spans="2:25">
      <c r="B38">
        <f>iSummary!G44</f>
        <v>2</v>
      </c>
      <c r="C38" s="123">
        <f>iSummary!H44</f>
        <v>31</v>
      </c>
      <c r="D38" s="107" t="str">
        <f>iSummary!I44</f>
        <v>Buenos Aires</v>
      </c>
      <c r="E38" s="140">
        <f>iSummary!J44</f>
        <v>65.88</v>
      </c>
      <c r="F38" s="143"/>
      <c r="G38" s="143">
        <f>iSummary!R44</f>
        <v>4</v>
      </c>
      <c r="H38" s="123">
        <f>iSummary!S44</f>
        <v>31</v>
      </c>
      <c r="I38" s="107" t="str">
        <f>iSummary!T44</f>
        <v>Doha</v>
      </c>
      <c r="J38" s="140">
        <f>iSummary!U44</f>
        <v>58.73</v>
      </c>
      <c r="K38" s="143"/>
      <c r="L38" s="143">
        <f>iSummary!AB44</f>
        <v>2</v>
      </c>
      <c r="M38" s="123">
        <f>iSummary!AC44</f>
        <v>31</v>
      </c>
      <c r="N38" s="107" t="str">
        <f>iSummary!AD44</f>
        <v>Shanghai</v>
      </c>
      <c r="O38" s="140">
        <f>iSummary!AE44</f>
        <v>63.31</v>
      </c>
      <c r="P38" s="143"/>
      <c r="Q38" s="143">
        <f>iSummary!AL44</f>
        <v>2</v>
      </c>
      <c r="R38" s="123">
        <f>iSummary!AM44</f>
        <v>31</v>
      </c>
      <c r="S38" s="107" t="str">
        <f>iSummary!AN44</f>
        <v>Guangzhou</v>
      </c>
      <c r="T38" s="140">
        <f>iSummary!AO44</f>
        <v>76.57</v>
      </c>
      <c r="U38" s="143"/>
      <c r="V38" s="143">
        <f>iSummary!AV44</f>
        <v>2</v>
      </c>
      <c r="W38" s="123">
        <f>iSummary!AW44</f>
        <v>31</v>
      </c>
      <c r="X38" s="107" t="str">
        <f>iSummary!AX44</f>
        <v>Rio de Janeiro</v>
      </c>
      <c r="Y38" s="140">
        <f>iSummary!AY44</f>
        <v>67.45</v>
      </c>
    </row>
    <row r="39" ht="17.25" customHeight="1" spans="2:25">
      <c r="B39">
        <f>iSummary!G45</f>
        <v>2</v>
      </c>
      <c r="C39" s="123">
        <f>iSummary!H45</f>
        <v>32</v>
      </c>
      <c r="D39" s="107" t="str">
        <f>iSummary!I45</f>
        <v>Shenzhen</v>
      </c>
      <c r="E39" s="140">
        <f>iSummary!J45</f>
        <v>65.76</v>
      </c>
      <c r="F39" s="143"/>
      <c r="G39" s="143">
        <f>iSummary!R45</f>
        <v>2</v>
      </c>
      <c r="H39" s="123">
        <f>iSummary!S45</f>
        <v>32</v>
      </c>
      <c r="I39" s="107" t="str">
        <f>iSummary!T45</f>
        <v>Paris</v>
      </c>
      <c r="J39" s="140">
        <f>iSummary!U45</f>
        <v>58.4</v>
      </c>
      <c r="K39" s="143"/>
      <c r="L39" s="143">
        <f>iSummary!AB45</f>
        <v>2</v>
      </c>
      <c r="M39" s="123">
        <f>iSummary!AC45</f>
        <v>32</v>
      </c>
      <c r="N39" s="107" t="str">
        <f>iSummary!AD45</f>
        <v>Shenzhen</v>
      </c>
      <c r="O39" s="140">
        <f>iSummary!AE45</f>
        <v>61.85</v>
      </c>
      <c r="P39" s="143"/>
      <c r="Q39" s="143">
        <f>iSummary!AL45</f>
        <v>2</v>
      </c>
      <c r="R39" s="123">
        <f>iSummary!AM45</f>
        <v>32</v>
      </c>
      <c r="S39" s="107" t="str">
        <f>iSummary!AN45</f>
        <v>Beijing </v>
      </c>
      <c r="T39" s="140">
        <f>iSummary!AO45</f>
        <v>76.54</v>
      </c>
      <c r="U39" s="143"/>
      <c r="V39" s="143">
        <f>iSummary!AV45</f>
        <v>3</v>
      </c>
      <c r="W39" s="123">
        <f>iSummary!AW45</f>
        <v>32</v>
      </c>
      <c r="X39" s="107" t="str">
        <f>iSummary!AX45</f>
        <v>Abu Dhabi</v>
      </c>
      <c r="Y39" s="140">
        <f>iSummary!AY45</f>
        <v>67.39</v>
      </c>
    </row>
    <row r="40" ht="17.25" customHeight="1" spans="2:25">
      <c r="B40">
        <f>iSummary!G46</f>
        <v>2</v>
      </c>
      <c r="C40" s="123">
        <f>iSummary!H46</f>
        <v>33</v>
      </c>
      <c r="D40" s="107" t="str">
        <f>iSummary!I46</f>
        <v>Lima</v>
      </c>
      <c r="E40" s="140">
        <f>iSummary!J46</f>
        <v>65.01</v>
      </c>
      <c r="F40" s="143"/>
      <c r="G40" s="143">
        <f>iSummary!R46</f>
        <v>2</v>
      </c>
      <c r="H40" s="123">
        <f>iSummary!S46</f>
        <v>33</v>
      </c>
      <c r="I40" s="107" t="str">
        <f>iSummary!T46</f>
        <v>Frankfurt</v>
      </c>
      <c r="J40" s="140">
        <f>iSummary!U46</f>
        <v>57.45</v>
      </c>
      <c r="K40" s="143"/>
      <c r="L40" s="143">
        <f>iSummary!AB46</f>
        <v>2</v>
      </c>
      <c r="M40" s="123">
        <f>iSummary!AC46</f>
        <v>33</v>
      </c>
      <c r="N40" s="107" t="str">
        <f>iSummary!AD46</f>
        <v>Mexico City</v>
      </c>
      <c r="O40" s="140">
        <f>iSummary!AE46</f>
        <v>61.16</v>
      </c>
      <c r="P40" s="143"/>
      <c r="Q40" s="143">
        <f>iSummary!AL46</f>
        <v>2</v>
      </c>
      <c r="R40" s="123">
        <f>iSummary!AM46</f>
        <v>33</v>
      </c>
      <c r="S40" s="107" t="str">
        <f>iSummary!AN46</f>
        <v>Tianjin</v>
      </c>
      <c r="T40" s="140">
        <f>iSummary!AO46</f>
        <v>76.53</v>
      </c>
      <c r="U40" s="143"/>
      <c r="V40" s="143">
        <f>iSummary!AV46</f>
        <v>2</v>
      </c>
      <c r="W40" s="123">
        <f>iSummary!AW46</f>
        <v>33</v>
      </c>
      <c r="X40" s="107" t="str">
        <f>iSummary!AX46</f>
        <v>Madrid</v>
      </c>
      <c r="Y40" s="140">
        <f>iSummary!AY46</f>
        <v>65.81</v>
      </c>
    </row>
    <row r="41" ht="17.25" customHeight="1" spans="2:25">
      <c r="B41">
        <f>iSummary!G47</f>
        <v>2</v>
      </c>
      <c r="C41" s="123">
        <f>iSummary!H47</f>
        <v>34</v>
      </c>
      <c r="D41" s="107" t="str">
        <f>iSummary!I47</f>
        <v>Tianjin</v>
      </c>
      <c r="E41" s="140">
        <f>iSummary!J47</f>
        <v>63.55</v>
      </c>
      <c r="F41" s="143"/>
      <c r="G41" s="143">
        <f>iSummary!R47</f>
        <v>2</v>
      </c>
      <c r="H41" s="123">
        <f>iSummary!S47</f>
        <v>34</v>
      </c>
      <c r="I41" s="107" t="str">
        <f>iSummary!T47</f>
        <v>Beijing </v>
      </c>
      <c r="J41" s="140">
        <f>iSummary!U47</f>
        <v>56.87</v>
      </c>
      <c r="K41" s="143"/>
      <c r="L41" s="143">
        <f>iSummary!AB47</f>
        <v>2</v>
      </c>
      <c r="M41" s="123">
        <f>iSummary!AC47</f>
        <v>34</v>
      </c>
      <c r="N41" s="107" t="str">
        <f>iSummary!AD47</f>
        <v>Tianjin</v>
      </c>
      <c r="O41" s="140">
        <f>iSummary!AE47</f>
        <v>60.93</v>
      </c>
      <c r="P41" s="143"/>
      <c r="Q41" s="143">
        <f>iSummary!AL47</f>
        <v>2</v>
      </c>
      <c r="R41" s="123">
        <f>iSummary!AM47</f>
        <v>34</v>
      </c>
      <c r="S41" s="107" t="str">
        <f>iSummary!AN47</f>
        <v>Shenzhen</v>
      </c>
      <c r="T41" s="140">
        <f>iSummary!AO47</f>
        <v>76.5</v>
      </c>
      <c r="U41" s="143"/>
      <c r="V41" s="143">
        <f>iSummary!AV47</f>
        <v>2</v>
      </c>
      <c r="W41" s="123">
        <f>iSummary!AW47</f>
        <v>34</v>
      </c>
      <c r="X41" s="107" t="str">
        <f>iSummary!AX47</f>
        <v>Ho Chi Minh</v>
      </c>
      <c r="Y41" s="140">
        <f>iSummary!AY47</f>
        <v>65.62</v>
      </c>
    </row>
    <row r="42" ht="17.25" customHeight="1" spans="2:25">
      <c r="B42">
        <f>iSummary!G48</f>
        <v>2</v>
      </c>
      <c r="C42" s="123">
        <f>iSummary!H48</f>
        <v>35</v>
      </c>
      <c r="D42" s="107" t="str">
        <f>iSummary!I48</f>
        <v>Rio de Janeiro</v>
      </c>
      <c r="E42" s="140">
        <f>iSummary!J48</f>
        <v>63.52</v>
      </c>
      <c r="F42" s="143"/>
      <c r="G42" s="143">
        <f>iSummary!R48</f>
        <v>2</v>
      </c>
      <c r="H42" s="123">
        <f>iSummary!S48</f>
        <v>35</v>
      </c>
      <c r="I42" s="107" t="str">
        <f>iSummary!T48</f>
        <v>Rome</v>
      </c>
      <c r="J42" s="140">
        <f>iSummary!U48</f>
        <v>56.67</v>
      </c>
      <c r="K42" s="143"/>
      <c r="L42" s="143">
        <f>iSummary!AB48</f>
        <v>2</v>
      </c>
      <c r="M42" s="123">
        <f>iSummary!AC48</f>
        <v>35</v>
      </c>
      <c r="N42" s="107" t="str">
        <f>iSummary!AD48</f>
        <v>Bangkok</v>
      </c>
      <c r="O42" s="140">
        <f>iSummary!AE48</f>
        <v>60.5</v>
      </c>
      <c r="P42" s="143"/>
      <c r="Q42" s="143">
        <f>iSummary!AL48</f>
        <v>2</v>
      </c>
      <c r="R42" s="123">
        <f>iSummary!AM48</f>
        <v>35</v>
      </c>
      <c r="S42" s="107" t="str">
        <f>iSummary!AN48</f>
        <v>Sao Paulo</v>
      </c>
      <c r="T42" s="140">
        <f>iSummary!AO48</f>
        <v>76.41</v>
      </c>
      <c r="U42" s="143"/>
      <c r="V42" s="143">
        <f>iSummary!AV48</f>
        <v>2</v>
      </c>
      <c r="W42" s="123">
        <f>iSummary!AW48</f>
        <v>35</v>
      </c>
      <c r="X42" s="107" t="str">
        <f>iSummary!AX48</f>
        <v>Tianjin</v>
      </c>
      <c r="Y42" s="140">
        <f>iSummary!AY48</f>
        <v>62.46</v>
      </c>
    </row>
    <row r="43" ht="17.25" customHeight="1" spans="2:25">
      <c r="B43">
        <f>iSummary!G49</f>
        <v>2</v>
      </c>
      <c r="C43" s="123">
        <f>iSummary!H49</f>
        <v>36</v>
      </c>
      <c r="D43" s="107" t="str">
        <f>iSummary!I49</f>
        <v>Kuwait City</v>
      </c>
      <c r="E43" s="140">
        <f>iSummary!J49</f>
        <v>63.47</v>
      </c>
      <c r="F43" s="143"/>
      <c r="G43" s="143">
        <f>iSummary!R49</f>
        <v>2</v>
      </c>
      <c r="H43" s="123">
        <f>iSummary!S49</f>
        <v>36</v>
      </c>
      <c r="I43" s="107" t="str">
        <f>iSummary!T49</f>
        <v>Shanghai</v>
      </c>
      <c r="J43" s="140">
        <f>iSummary!U49</f>
        <v>56.14</v>
      </c>
      <c r="K43" s="143"/>
      <c r="L43" s="143">
        <f>iSummary!AB49</f>
        <v>2</v>
      </c>
      <c r="M43" s="123">
        <f>iSummary!AC49</f>
        <v>36</v>
      </c>
      <c r="N43" s="107" t="str">
        <f>iSummary!AD49</f>
        <v>Sao Paulo</v>
      </c>
      <c r="O43" s="140">
        <f>iSummary!AE49</f>
        <v>60.37</v>
      </c>
      <c r="P43" s="143"/>
      <c r="Q43" s="143">
        <f>iSummary!AL49</f>
        <v>4</v>
      </c>
      <c r="R43" s="123">
        <f>iSummary!AM49</f>
        <v>36</v>
      </c>
      <c r="S43" s="107" t="str">
        <f>iSummary!AN49</f>
        <v>Doha</v>
      </c>
      <c r="T43" s="140">
        <f>iSummary!AO49</f>
        <v>76.34</v>
      </c>
      <c r="U43" s="143"/>
      <c r="V43" s="143">
        <f>iSummary!AV49</f>
        <v>2</v>
      </c>
      <c r="W43" s="123">
        <f>iSummary!AW49</f>
        <v>36</v>
      </c>
      <c r="X43" s="107" t="str">
        <f>iSummary!AX49</f>
        <v>Buenos Aires</v>
      </c>
      <c r="Y43" s="140">
        <f>iSummary!AY49</f>
        <v>62.25</v>
      </c>
    </row>
    <row r="44" ht="17.25" customHeight="1" spans="2:25">
      <c r="B44">
        <f>iSummary!G50</f>
        <v>2</v>
      </c>
      <c r="C44" s="123">
        <f>iSummary!H50</f>
        <v>37</v>
      </c>
      <c r="D44" s="107" t="str">
        <f>iSummary!I50</f>
        <v>Beijing </v>
      </c>
      <c r="E44" s="140">
        <f>iSummary!J50</f>
        <v>63.25</v>
      </c>
      <c r="F44" s="143"/>
      <c r="G44" s="143">
        <f>iSummary!R50</f>
        <v>2</v>
      </c>
      <c r="H44" s="123">
        <f>iSummary!S50</f>
        <v>37</v>
      </c>
      <c r="I44" s="107" t="str">
        <f>iSummary!T50</f>
        <v>Guangzhou</v>
      </c>
      <c r="J44" s="140">
        <f>iSummary!U50</f>
        <v>55.14</v>
      </c>
      <c r="K44" s="143"/>
      <c r="L44" s="143">
        <f>iSummary!AB50</f>
        <v>2</v>
      </c>
      <c r="M44" s="123">
        <f>iSummary!AC50</f>
        <v>37</v>
      </c>
      <c r="N44" s="107" t="str">
        <f>iSummary!AD50</f>
        <v>Guangzhou</v>
      </c>
      <c r="O44" s="140">
        <f>iSummary!AE50</f>
        <v>60.07</v>
      </c>
      <c r="P44" s="143"/>
      <c r="Q44" s="143">
        <f>iSummary!AL50</f>
        <v>2</v>
      </c>
      <c r="R44" s="123">
        <f>iSummary!AM50</f>
        <v>37</v>
      </c>
      <c r="S44" s="107" t="str">
        <f>iSummary!AN50</f>
        <v>Lima</v>
      </c>
      <c r="T44" s="140">
        <f>iSummary!AO50</f>
        <v>75.69</v>
      </c>
      <c r="U44" s="143"/>
      <c r="V44" s="143">
        <f>iSummary!AV50</f>
        <v>2</v>
      </c>
      <c r="W44" s="123">
        <f>iSummary!AW50</f>
        <v>37</v>
      </c>
      <c r="X44" s="107" t="str">
        <f>iSummary!AX50</f>
        <v>Mexico City</v>
      </c>
      <c r="Y44" s="140">
        <f>iSummary!AY50</f>
        <v>62.07</v>
      </c>
    </row>
    <row r="45" ht="17.25" customHeight="1" spans="2:25">
      <c r="B45">
        <f>iSummary!G51</f>
        <v>2</v>
      </c>
      <c r="C45" s="123">
        <f>iSummary!H51</f>
        <v>38</v>
      </c>
      <c r="D45" s="107" t="str">
        <f>iSummary!I51</f>
        <v>Guangzhou</v>
      </c>
      <c r="E45" s="140">
        <f>iSummary!J51</f>
        <v>62.79</v>
      </c>
      <c r="F45" s="143"/>
      <c r="G45" s="143">
        <f>iSummary!R51</f>
        <v>2</v>
      </c>
      <c r="H45" s="123">
        <f>iSummary!S51</f>
        <v>38</v>
      </c>
      <c r="I45" s="107" t="str">
        <f>iSummary!T51</f>
        <v>Lima</v>
      </c>
      <c r="J45" s="140">
        <f>iSummary!U51</f>
        <v>55.09</v>
      </c>
      <c r="K45" s="143"/>
      <c r="L45" s="143">
        <f>iSummary!AB51</f>
        <v>2</v>
      </c>
      <c r="M45" s="123">
        <f>iSummary!AC51</f>
        <v>38</v>
      </c>
      <c r="N45" s="107" t="str">
        <f>iSummary!AD51</f>
        <v>Rio de Janeiro</v>
      </c>
      <c r="O45" s="140">
        <f>iSummary!AE51</f>
        <v>57.48</v>
      </c>
      <c r="P45" s="143"/>
      <c r="Q45" s="143">
        <f>iSummary!AL51</f>
        <v>2</v>
      </c>
      <c r="R45" s="123">
        <f>iSummary!AM51</f>
        <v>38</v>
      </c>
      <c r="S45" s="107" t="str">
        <f>iSummary!AN51</f>
        <v>Rio de Janeiro</v>
      </c>
      <c r="T45" s="140">
        <f>iSummary!AO51</f>
        <v>74.4</v>
      </c>
      <c r="U45" s="143"/>
      <c r="V45" s="143">
        <f>iSummary!AV51</f>
        <v>2</v>
      </c>
      <c r="W45" s="123">
        <f>iSummary!AW51</f>
        <v>38</v>
      </c>
      <c r="X45" s="107" t="str">
        <f>iSummary!AX51</f>
        <v>Shenzhen</v>
      </c>
      <c r="Y45" s="140">
        <f>iSummary!AY51</f>
        <v>61.96</v>
      </c>
    </row>
    <row r="46" ht="17.25" customHeight="1" spans="2:25">
      <c r="B46">
        <f>iSummary!G52</f>
        <v>2</v>
      </c>
      <c r="C46" s="123">
        <f>iSummary!H52</f>
        <v>39</v>
      </c>
      <c r="D46" s="107" t="str">
        <f>iSummary!I52</f>
        <v>Bangkok</v>
      </c>
      <c r="E46" s="140">
        <f>iSummary!J52</f>
        <v>62.69</v>
      </c>
      <c r="F46" s="143"/>
      <c r="G46" s="143">
        <f>iSummary!R52</f>
        <v>2</v>
      </c>
      <c r="H46" s="123">
        <f>iSummary!S52</f>
        <v>39</v>
      </c>
      <c r="I46" s="107" t="str">
        <f>iSummary!T52</f>
        <v>Sao Paulo</v>
      </c>
      <c r="J46" s="140">
        <f>iSummary!U52</f>
        <v>54.93</v>
      </c>
      <c r="K46" s="143"/>
      <c r="L46" s="143">
        <f>iSummary!AB52</f>
        <v>2</v>
      </c>
      <c r="M46" s="123">
        <f>iSummary!AC52</f>
        <v>39</v>
      </c>
      <c r="N46" s="107" t="str">
        <f>iSummary!AD52</f>
        <v>Kuwait City</v>
      </c>
      <c r="O46" s="140">
        <f>iSummary!AE52</f>
        <v>56.81</v>
      </c>
      <c r="P46" s="143"/>
      <c r="Q46" s="143">
        <f>iSummary!AL52</f>
        <v>2</v>
      </c>
      <c r="R46" s="123">
        <f>iSummary!AM52</f>
        <v>39</v>
      </c>
      <c r="S46" s="107" t="str">
        <f>iSummary!AN52</f>
        <v>Kuwait City</v>
      </c>
      <c r="T46" s="140">
        <f>iSummary!AO52</f>
        <v>73.4</v>
      </c>
      <c r="U46" s="143"/>
      <c r="V46" s="143">
        <f>iSummary!AV52</f>
        <v>2</v>
      </c>
      <c r="W46" s="123">
        <f>iSummary!AW52</f>
        <v>39</v>
      </c>
      <c r="X46" s="107" t="str">
        <f>iSummary!AX52</f>
        <v>Johannesburg</v>
      </c>
      <c r="Y46" s="140">
        <f>iSummary!AY52</f>
        <v>61.29</v>
      </c>
    </row>
    <row r="47" ht="17.25" customHeight="1" spans="2:25">
      <c r="B47">
        <f>iSummary!G53</f>
        <v>2</v>
      </c>
      <c r="C47" s="123">
        <f>iSummary!H53</f>
        <v>40</v>
      </c>
      <c r="D47" s="107" t="str">
        <f>iSummary!I53</f>
        <v>Sao Paulo</v>
      </c>
      <c r="E47" s="140">
        <f>iSummary!J53</f>
        <v>62.33</v>
      </c>
      <c r="F47" s="143"/>
      <c r="G47" s="143">
        <f>iSummary!R53</f>
        <v>2</v>
      </c>
      <c r="H47" s="123">
        <f>iSummary!S53</f>
        <v>40</v>
      </c>
      <c r="I47" s="107" t="str">
        <f>iSummary!T53</f>
        <v>Rio de Janeiro</v>
      </c>
      <c r="J47" s="140">
        <f>iSummary!U53</f>
        <v>54.74</v>
      </c>
      <c r="K47" s="143"/>
      <c r="L47" s="143">
        <f>iSummary!AB53</f>
        <v>2</v>
      </c>
      <c r="M47" s="123">
        <f>iSummary!AC53</f>
        <v>40</v>
      </c>
      <c r="N47" s="107" t="str">
        <f>iSummary!AD53</f>
        <v>Lima</v>
      </c>
      <c r="O47" s="140">
        <f>iSummary!AE53</f>
        <v>54.44</v>
      </c>
      <c r="P47" s="143"/>
      <c r="Q47" s="143">
        <f>iSummary!AL53</f>
        <v>2</v>
      </c>
      <c r="R47" s="123">
        <f>iSummary!AM53</f>
        <v>40</v>
      </c>
      <c r="S47" s="107" t="str">
        <f>iSummary!AN53</f>
        <v>Hong Kong</v>
      </c>
      <c r="T47" s="140">
        <f>iSummary!AO53</f>
        <v>71.46</v>
      </c>
      <c r="U47" s="143"/>
      <c r="V47" s="143">
        <f>iSummary!AV53</f>
        <v>2</v>
      </c>
      <c r="W47" s="123">
        <f>iSummary!AW53</f>
        <v>40</v>
      </c>
      <c r="X47" s="107" t="str">
        <f>iSummary!AX53</f>
        <v>Rome</v>
      </c>
      <c r="Y47" s="140">
        <f>iSummary!AY53</f>
        <v>60.94</v>
      </c>
    </row>
    <row r="48" ht="17.25" customHeight="1" spans="2:25">
      <c r="B48">
        <f>iSummary!G54</f>
        <v>2</v>
      </c>
      <c r="C48" s="123">
        <f>iSummary!H54</f>
        <v>41</v>
      </c>
      <c r="D48" s="107" t="str">
        <f>iSummary!I54</f>
        <v>Istanbul</v>
      </c>
      <c r="E48" s="140">
        <f>iSummary!J54</f>
        <v>62.25</v>
      </c>
      <c r="F48" s="143"/>
      <c r="G48" s="143">
        <f>iSummary!R54</f>
        <v>2</v>
      </c>
      <c r="H48" s="123">
        <f>iSummary!S54</f>
        <v>41</v>
      </c>
      <c r="I48" s="107" t="str">
        <f>iSummary!T54</f>
        <v>Tianjin</v>
      </c>
      <c r="J48" s="140">
        <f>iSummary!U54</f>
        <v>54.26</v>
      </c>
      <c r="K48" s="143"/>
      <c r="L48" s="143">
        <f>iSummary!AB54</f>
        <v>4</v>
      </c>
      <c r="M48" s="123">
        <f>iSummary!AC54</f>
        <v>41</v>
      </c>
      <c r="N48" s="107" t="str">
        <f>iSummary!AD54</f>
        <v>Doha</v>
      </c>
      <c r="O48" s="140">
        <f>iSummary!AE54</f>
        <v>54.16</v>
      </c>
      <c r="P48" s="143"/>
      <c r="Q48" s="143">
        <f>iSummary!AL54</f>
        <v>2</v>
      </c>
      <c r="R48" s="123">
        <f>iSummary!AM54</f>
        <v>41</v>
      </c>
      <c r="S48" s="107" t="str">
        <f>iSummary!AN54</f>
        <v>Moscow</v>
      </c>
      <c r="T48" s="140">
        <f>iSummary!AO54</f>
        <v>70.65</v>
      </c>
      <c r="U48" s="143"/>
      <c r="V48" s="143">
        <f>iSummary!AV54</f>
        <v>2</v>
      </c>
      <c r="W48" s="123">
        <f>iSummary!AW54</f>
        <v>41</v>
      </c>
      <c r="X48" s="107" t="str">
        <f>iSummary!AX54</f>
        <v>Brussels</v>
      </c>
      <c r="Y48" s="140">
        <f>iSummary!AY54</f>
        <v>60.31</v>
      </c>
    </row>
    <row r="49" ht="17.25" customHeight="1" spans="2:25">
      <c r="B49">
        <f>iSummary!G55</f>
        <v>2</v>
      </c>
      <c r="C49" s="123">
        <f>iSummary!H55</f>
        <v>42</v>
      </c>
      <c r="D49" s="107" t="str">
        <f>iSummary!I55</f>
        <v>Delhi</v>
      </c>
      <c r="E49" s="140">
        <f>iSummary!J55</f>
        <v>61.88</v>
      </c>
      <c r="F49" s="143"/>
      <c r="G49" s="143">
        <f>iSummary!R55</f>
        <v>2</v>
      </c>
      <c r="H49" s="123">
        <f>iSummary!S55</f>
        <v>42</v>
      </c>
      <c r="I49" s="107" t="str">
        <f>iSummary!T55</f>
        <v>Ho Chi Minh</v>
      </c>
      <c r="J49" s="140">
        <f>iSummary!U55</f>
        <v>53.31</v>
      </c>
      <c r="K49" s="143"/>
      <c r="L49" s="143">
        <f>iSummary!AB55</f>
        <v>2</v>
      </c>
      <c r="M49" s="123">
        <f>iSummary!AC55</f>
        <v>42</v>
      </c>
      <c r="N49" s="107" t="str">
        <f>iSummary!AD55</f>
        <v>Delhi</v>
      </c>
      <c r="O49" s="140">
        <f>iSummary!AE55</f>
        <v>53.76</v>
      </c>
      <c r="P49" s="143"/>
      <c r="Q49" s="143">
        <f>iSummary!AL55</f>
        <v>2</v>
      </c>
      <c r="R49" s="123">
        <f>iSummary!AM55</f>
        <v>42</v>
      </c>
      <c r="S49" s="107" t="str">
        <f>iSummary!AN55</f>
        <v>Bangkok</v>
      </c>
      <c r="T49" s="140">
        <f>iSummary!AO55</f>
        <v>66.44</v>
      </c>
      <c r="U49" s="143"/>
      <c r="V49" s="143">
        <f>iSummary!AV55</f>
        <v>2</v>
      </c>
      <c r="W49" s="123">
        <f>iSummary!AW55</f>
        <v>42</v>
      </c>
      <c r="X49" s="107" t="str">
        <f>iSummary!AX55</f>
        <v>Riyadh</v>
      </c>
      <c r="Y49" s="140">
        <f>iSummary!AY55</f>
        <v>60.26</v>
      </c>
    </row>
    <row r="50" ht="17.25" customHeight="1" spans="2:25">
      <c r="B50">
        <f>iSummary!G56</f>
        <v>2</v>
      </c>
      <c r="C50" s="123">
        <f>iSummary!H56</f>
        <v>43</v>
      </c>
      <c r="D50" s="107" t="str">
        <f>iSummary!I56</f>
        <v>Moscow</v>
      </c>
      <c r="E50" s="140">
        <f>iSummary!J56</f>
        <v>61.6</v>
      </c>
      <c r="F50" s="143"/>
      <c r="G50" s="143">
        <f>iSummary!R56</f>
        <v>2</v>
      </c>
      <c r="H50" s="123">
        <f>iSummary!S56</f>
        <v>43</v>
      </c>
      <c r="I50" s="107" t="str">
        <f>iSummary!T56</f>
        <v>Riyadh</v>
      </c>
      <c r="J50" s="140">
        <f>iSummary!U56</f>
        <v>53.26</v>
      </c>
      <c r="K50" s="143"/>
      <c r="L50" s="143">
        <f>iSummary!AB56</f>
        <v>2</v>
      </c>
      <c r="M50" s="123">
        <f>iSummary!AC56</f>
        <v>43</v>
      </c>
      <c r="N50" s="107" t="str">
        <f>iSummary!AD56</f>
        <v>Riyadh</v>
      </c>
      <c r="O50" s="140">
        <f>iSummary!AE56</f>
        <v>53.33</v>
      </c>
      <c r="P50" s="143"/>
      <c r="Q50" s="143">
        <f>iSummary!AL56</f>
        <v>2</v>
      </c>
      <c r="R50" s="123">
        <f>iSummary!AM56</f>
        <v>43</v>
      </c>
      <c r="S50" s="107" t="str">
        <f>iSummary!AN56</f>
        <v>Tehran</v>
      </c>
      <c r="T50" s="140">
        <f>iSummary!AO56</f>
        <v>63.98</v>
      </c>
      <c r="U50" s="143"/>
      <c r="V50" s="143">
        <f>iSummary!AV56</f>
        <v>2</v>
      </c>
      <c r="W50" s="123">
        <f>iSummary!AW56</f>
        <v>43</v>
      </c>
      <c r="X50" s="107" t="str">
        <f>iSummary!AX56</f>
        <v>Kuwait City</v>
      </c>
      <c r="Y50" s="140">
        <f>iSummary!AY56</f>
        <v>59.47</v>
      </c>
    </row>
    <row r="51" ht="17.25" customHeight="1" spans="2:25">
      <c r="B51">
        <f>iSummary!G57</f>
        <v>2</v>
      </c>
      <c r="C51" s="123">
        <f>iSummary!H57</f>
        <v>44</v>
      </c>
      <c r="D51" s="107" t="str">
        <f>iSummary!I57</f>
        <v>Mumbai</v>
      </c>
      <c r="E51" s="140">
        <f>iSummary!J57</f>
        <v>60.72</v>
      </c>
      <c r="F51" s="143"/>
      <c r="G51" s="143">
        <f>iSummary!R57</f>
        <v>2</v>
      </c>
      <c r="H51" s="123">
        <f>iSummary!S57</f>
        <v>44</v>
      </c>
      <c r="I51" s="107" t="str">
        <f>iSummary!T57</f>
        <v>Johannesburg</v>
      </c>
      <c r="J51" s="140">
        <f>iSummary!U57</f>
        <v>52.9</v>
      </c>
      <c r="K51" s="143"/>
      <c r="L51" s="143">
        <f>iSummary!AB57</f>
        <v>2</v>
      </c>
      <c r="M51" s="123">
        <f>iSummary!AC57</f>
        <v>44</v>
      </c>
      <c r="N51" s="107" t="str">
        <f>iSummary!AD57</f>
        <v>Jakarta</v>
      </c>
      <c r="O51" s="140">
        <f>iSummary!AE57</f>
        <v>53.11</v>
      </c>
      <c r="P51" s="143"/>
      <c r="Q51" s="143">
        <f>iSummary!AL57</f>
        <v>2</v>
      </c>
      <c r="R51" s="123">
        <f>iSummary!AM57</f>
        <v>44</v>
      </c>
      <c r="S51" s="107" t="str">
        <f>iSummary!AN57</f>
        <v>Riyadh</v>
      </c>
      <c r="T51" s="140">
        <f>iSummary!AO57</f>
        <v>61.53</v>
      </c>
      <c r="U51" s="143"/>
      <c r="V51" s="143">
        <f>iSummary!AV57</f>
        <v>2</v>
      </c>
      <c r="W51" s="123">
        <f>iSummary!AW57</f>
        <v>44</v>
      </c>
      <c r="X51" s="107" t="str">
        <f>iSummary!AX57</f>
        <v>Guangzhou</v>
      </c>
      <c r="Y51" s="140">
        <f>iSummary!AY57</f>
        <v>59.37</v>
      </c>
    </row>
    <row r="52" ht="17.25" customHeight="1" spans="2:25">
      <c r="B52">
        <f>iSummary!G58</f>
        <v>2</v>
      </c>
      <c r="C52" s="123">
        <f>iSummary!H58</f>
        <v>45</v>
      </c>
      <c r="D52" s="107" t="str">
        <f>iSummary!I58</f>
        <v>Mexico City</v>
      </c>
      <c r="E52" s="140">
        <f>iSummary!J58</f>
        <v>59.46</v>
      </c>
      <c r="F52" s="143"/>
      <c r="G52" s="143">
        <f>iSummary!R58</f>
        <v>2</v>
      </c>
      <c r="H52" s="123">
        <f>iSummary!S58</f>
        <v>45</v>
      </c>
      <c r="I52" s="107" t="str">
        <f>iSummary!T58</f>
        <v>Bangkok</v>
      </c>
      <c r="J52" s="140">
        <f>iSummary!U58</f>
        <v>52.86</v>
      </c>
      <c r="K52" s="143"/>
      <c r="L52" s="143">
        <f>iSummary!AB58</f>
        <v>3</v>
      </c>
      <c r="M52" s="123">
        <f>iSummary!AC58</f>
        <v>45</v>
      </c>
      <c r="N52" s="107" t="str">
        <f>iSummary!AD58</f>
        <v>Abu Dhabi</v>
      </c>
      <c r="O52" s="140">
        <f>iSummary!AE58</f>
        <v>52.06</v>
      </c>
      <c r="P52" s="143"/>
      <c r="Q52" s="143">
        <f>iSummary!AL58</f>
        <v>2</v>
      </c>
      <c r="R52" s="123">
        <f>iSummary!AM58</f>
        <v>45</v>
      </c>
      <c r="S52" s="107" t="str">
        <f>iSummary!AN58</f>
        <v>Johannesburg</v>
      </c>
      <c r="T52" s="140">
        <f>iSummary!AO58</f>
        <v>60.67</v>
      </c>
      <c r="U52" s="143"/>
      <c r="V52" s="143">
        <f>iSummary!AV58</f>
        <v>2</v>
      </c>
      <c r="W52" s="123">
        <f>iSummary!AW58</f>
        <v>45</v>
      </c>
      <c r="X52" s="107" t="str">
        <f>iSummary!AX58</f>
        <v>Jakarta</v>
      </c>
      <c r="Y52" s="140">
        <f>iSummary!AY58</f>
        <v>59.23</v>
      </c>
    </row>
    <row r="53" ht="17.25" customHeight="1" spans="2:25">
      <c r="B53">
        <f>iSummary!G59</f>
        <v>2</v>
      </c>
      <c r="C53" s="123">
        <f>iSummary!H59</f>
        <v>46</v>
      </c>
      <c r="D53" s="107" t="str">
        <f>iSummary!I59</f>
        <v>Riyadh</v>
      </c>
      <c r="E53" s="140">
        <f>iSummary!J59</f>
        <v>57.09</v>
      </c>
      <c r="F53" s="143"/>
      <c r="G53" s="143">
        <f>iSummary!R59</f>
        <v>2</v>
      </c>
      <c r="H53" s="123">
        <f>iSummary!S59</f>
        <v>46</v>
      </c>
      <c r="I53" s="107" t="str">
        <f>iSummary!T59</f>
        <v>Moscow</v>
      </c>
      <c r="J53" s="140">
        <f>iSummary!U59</f>
        <v>51.54</v>
      </c>
      <c r="K53" s="143"/>
      <c r="L53" s="143">
        <f>iSummary!AB59</f>
        <v>2</v>
      </c>
      <c r="M53" s="123">
        <f>iSummary!AC59</f>
        <v>46</v>
      </c>
      <c r="N53" s="107" t="str">
        <f>iSummary!AD59</f>
        <v>Istanbul</v>
      </c>
      <c r="O53" s="140">
        <f>iSummary!AE59</f>
        <v>50.77</v>
      </c>
      <c r="P53" s="143"/>
      <c r="Q53" s="143">
        <f>iSummary!AL59</f>
        <v>2</v>
      </c>
      <c r="R53" s="123">
        <f>iSummary!AM59</f>
        <v>46</v>
      </c>
      <c r="S53" s="107" t="str">
        <f>iSummary!AN59</f>
        <v>Delhi</v>
      </c>
      <c r="T53" s="140">
        <f>iSummary!AO59</f>
        <v>57.71</v>
      </c>
      <c r="U53" s="143"/>
      <c r="V53" s="143">
        <f>iSummary!AV59</f>
        <v>2</v>
      </c>
      <c r="W53" s="123">
        <f>iSummary!AW59</f>
        <v>46</v>
      </c>
      <c r="X53" s="107" t="str">
        <f>iSummary!AX59</f>
        <v>Sao Paulo</v>
      </c>
      <c r="Y53" s="140">
        <f>iSummary!AY59</f>
        <v>57.59</v>
      </c>
    </row>
    <row r="54" ht="17.25" customHeight="1" spans="2:25">
      <c r="B54">
        <f>iSummary!G60</f>
        <v>2</v>
      </c>
      <c r="C54" s="123">
        <f>iSummary!H60</f>
        <v>47</v>
      </c>
      <c r="D54" s="107" t="str">
        <f>iSummary!I60</f>
        <v>Johannesburg</v>
      </c>
      <c r="E54" s="140">
        <f>iSummary!J60</f>
        <v>56.26</v>
      </c>
      <c r="F54" s="143"/>
      <c r="G54" s="143">
        <f>iSummary!R60</f>
        <v>2</v>
      </c>
      <c r="H54" s="123">
        <f>iSummary!S60</f>
        <v>47</v>
      </c>
      <c r="I54" s="107" t="str">
        <f>iSummary!T60</f>
        <v>Seoul</v>
      </c>
      <c r="J54" s="140">
        <f>iSummary!U60</f>
        <v>51.46</v>
      </c>
      <c r="K54" s="143"/>
      <c r="L54" s="143">
        <f>iSummary!AB60</f>
        <v>2</v>
      </c>
      <c r="M54" s="123">
        <f>iSummary!AC60</f>
        <v>47</v>
      </c>
      <c r="N54" s="107" t="str">
        <f>iSummary!AD60</f>
        <v>Johannesburg</v>
      </c>
      <c r="O54" s="140">
        <f>iSummary!AE60</f>
        <v>50.17</v>
      </c>
      <c r="P54" s="143"/>
      <c r="Q54" s="143">
        <f>iSummary!AL60</f>
        <v>2</v>
      </c>
      <c r="R54" s="123">
        <f>iSummary!AM60</f>
        <v>47</v>
      </c>
      <c r="S54" s="107" t="str">
        <f>iSummary!AN60</f>
        <v>Mumbai</v>
      </c>
      <c r="T54" s="140">
        <f>iSummary!AO60</f>
        <v>55.89</v>
      </c>
      <c r="U54" s="143"/>
      <c r="V54" s="143">
        <f>iSummary!AV60</f>
        <v>2</v>
      </c>
      <c r="W54" s="123">
        <f>iSummary!AW60</f>
        <v>47</v>
      </c>
      <c r="X54" s="107" t="str">
        <f>iSummary!AX60</f>
        <v>Tehran</v>
      </c>
      <c r="Y54" s="140">
        <f>iSummary!AY60</f>
        <v>56.35</v>
      </c>
    </row>
    <row r="55" ht="17.25" customHeight="1" spans="2:25">
      <c r="B55">
        <f>iSummary!G61</f>
        <v>2</v>
      </c>
      <c r="C55" s="123">
        <f>iSummary!H61</f>
        <v>48</v>
      </c>
      <c r="D55" s="107" t="str">
        <f>iSummary!I61</f>
        <v>Ho Chi Minh</v>
      </c>
      <c r="E55" s="140">
        <f>iSummary!J61</f>
        <v>54.93</v>
      </c>
      <c r="F55" s="143"/>
      <c r="G55" s="143">
        <f>iSummary!R61</f>
        <v>2</v>
      </c>
      <c r="H55" s="123">
        <f>iSummary!S61</f>
        <v>48</v>
      </c>
      <c r="I55" s="107" t="str">
        <f>iSummary!T61</f>
        <v>Jakarta</v>
      </c>
      <c r="J55" s="140">
        <f>iSummary!U61</f>
        <v>48.48</v>
      </c>
      <c r="K55" s="143"/>
      <c r="L55" s="143">
        <f>iSummary!AB61</f>
        <v>2</v>
      </c>
      <c r="M55" s="123">
        <f>iSummary!AC61</f>
        <v>48</v>
      </c>
      <c r="N55" s="107" t="str">
        <f>iSummary!AD61</f>
        <v>Ho Chi Minh</v>
      </c>
      <c r="O55" s="140">
        <f>iSummary!AE61</f>
        <v>48.39</v>
      </c>
      <c r="P55" s="143"/>
      <c r="Q55" s="143">
        <f>iSummary!AL61</f>
        <v>2</v>
      </c>
      <c r="R55" s="123">
        <f>iSummary!AM61</f>
        <v>48</v>
      </c>
      <c r="S55" s="107" t="str">
        <f>iSummary!AN61</f>
        <v>Jakarta</v>
      </c>
      <c r="T55" s="140">
        <f>iSummary!AO61</f>
        <v>54.02</v>
      </c>
      <c r="U55" s="143"/>
      <c r="V55" s="143">
        <f>iSummary!AV61</f>
        <v>2</v>
      </c>
      <c r="W55" s="123">
        <f>iSummary!AW61</f>
        <v>48</v>
      </c>
      <c r="X55" s="107" t="str">
        <f>iSummary!AX61</f>
        <v>Beijing </v>
      </c>
      <c r="Y55" s="140">
        <f>iSummary!AY61</f>
        <v>55.51</v>
      </c>
    </row>
    <row r="56" ht="17.25" customHeight="1" spans="2:25">
      <c r="B56">
        <f>iSummary!G62</f>
        <v>2</v>
      </c>
      <c r="C56" s="123">
        <f>iSummary!H62</f>
        <v>49</v>
      </c>
      <c r="D56" s="107" t="str">
        <f>iSummary!I62</f>
        <v>Tehran</v>
      </c>
      <c r="E56" s="140">
        <f>iSummary!J62</f>
        <v>53.78</v>
      </c>
      <c r="F56" s="143"/>
      <c r="G56" s="143">
        <f>iSummary!R62</f>
        <v>2</v>
      </c>
      <c r="H56" s="123">
        <f>iSummary!S62</f>
        <v>49</v>
      </c>
      <c r="I56" s="107" t="str">
        <f>iSummary!T62</f>
        <v>Istanbul</v>
      </c>
      <c r="J56" s="140">
        <f>iSummary!U62</f>
        <v>46.83</v>
      </c>
      <c r="K56" s="143"/>
      <c r="L56" s="143">
        <f>iSummary!AB62</f>
        <v>2</v>
      </c>
      <c r="M56" s="123">
        <f>iSummary!AC62</f>
        <v>49</v>
      </c>
      <c r="N56" s="107" t="str">
        <f>iSummary!AD62</f>
        <v>Tehran</v>
      </c>
      <c r="O56" s="140">
        <f>iSummary!AE62</f>
        <v>48.22</v>
      </c>
      <c r="P56" s="143"/>
      <c r="Q56" s="143">
        <f>iSummary!AL62</f>
        <v>2</v>
      </c>
      <c r="R56" s="123">
        <f>iSummary!AM62</f>
        <v>49</v>
      </c>
      <c r="S56" s="107" t="str">
        <f>iSummary!AN62</f>
        <v>Mexico City</v>
      </c>
      <c r="T56" s="140">
        <f>iSummary!AO62</f>
        <v>52.93</v>
      </c>
      <c r="U56" s="143"/>
      <c r="V56" s="143">
        <f>iSummary!AV62</f>
        <v>2</v>
      </c>
      <c r="W56" s="123">
        <f>iSummary!AW62</f>
        <v>49</v>
      </c>
      <c r="X56" s="107" t="str">
        <f>iSummary!AX62</f>
        <v>Moscow</v>
      </c>
      <c r="Y56" s="140">
        <f>iSummary!AY62</f>
        <v>55.27</v>
      </c>
    </row>
    <row r="57" ht="17.25" customHeight="1" spans="2:25">
      <c r="B57">
        <f>iSummary!G63</f>
        <v>2</v>
      </c>
      <c r="C57" s="123">
        <f>iSummary!H63</f>
        <v>50</v>
      </c>
      <c r="D57" s="107" t="str">
        <f>iSummary!I63</f>
        <v>Jakarta</v>
      </c>
      <c r="E57" s="140">
        <f>iSummary!J63</f>
        <v>53.71</v>
      </c>
      <c r="F57" s="143"/>
      <c r="G57" s="143">
        <f>iSummary!R63</f>
        <v>2</v>
      </c>
      <c r="H57" s="123">
        <f>iSummary!S63</f>
        <v>50</v>
      </c>
      <c r="I57" s="107" t="str">
        <f>iSummary!T63</f>
        <v>Tehran</v>
      </c>
      <c r="J57" s="140">
        <f>iSummary!U63</f>
        <v>46.58</v>
      </c>
      <c r="K57" s="143"/>
      <c r="L57" s="143">
        <f>iSummary!AB63</f>
        <v>2</v>
      </c>
      <c r="M57" s="123">
        <f>iSummary!AC63</f>
        <v>50</v>
      </c>
      <c r="N57" s="107" t="str">
        <f>iSummary!AD63</f>
        <v>Mumbai</v>
      </c>
      <c r="O57" s="140">
        <f>iSummary!AE63</f>
        <v>45.31</v>
      </c>
      <c r="P57" s="143"/>
      <c r="Q57" s="143">
        <f>iSummary!AL63</f>
        <v>2</v>
      </c>
      <c r="R57" s="123">
        <f>iSummary!AM63</f>
        <v>50</v>
      </c>
      <c r="S57" s="107" t="str">
        <f>iSummary!AN63</f>
        <v>Ho Chi Minh</v>
      </c>
      <c r="T57" s="140">
        <f>iSummary!AO63</f>
        <v>52.41</v>
      </c>
      <c r="U57" s="143"/>
      <c r="V57" s="143">
        <f>iSummary!AV63</f>
        <v>2</v>
      </c>
      <c r="W57" s="123">
        <f>iSummary!AW63</f>
        <v>50</v>
      </c>
      <c r="X57" s="107" t="str">
        <f>iSummary!AX63</f>
        <v>Santiago</v>
      </c>
      <c r="Y57" s="140">
        <f>iSummary!AY63</f>
        <v>53.58</v>
      </c>
    </row>
  </sheetData>
  <sheetProtection sheet="1" selectLockedCells="1" selectUnlockedCells="1" objects="1" scenarios="1"/>
  <mergeCells count="5">
    <mergeCell ref="C7:E7"/>
    <mergeCell ref="H7:J7"/>
    <mergeCell ref="M7:O7"/>
    <mergeCell ref="R7:T7"/>
    <mergeCell ref="W7:Y7"/>
  </mergeCells>
  <conditionalFormatting sqref="C8:C57">
    <cfRule type="expression" dxfId="0" priority="96">
      <formula>B8=0</formula>
    </cfRule>
    <cfRule type="expression" dxfId="1" priority="135">
      <formula>B8=4</formula>
    </cfRule>
    <cfRule type="expression" dxfId="2" priority="182">
      <formula>B8=3</formula>
    </cfRule>
    <cfRule type="expression" dxfId="3" priority="162">
      <formula>B8=1</formula>
    </cfRule>
  </conditionalFormatting>
  <conditionalFormatting sqref="D8:D57">
    <cfRule type="expression" dxfId="0" priority="95">
      <formula>B8=0</formula>
    </cfRule>
    <cfRule type="expression" dxfId="1" priority="134" stopIfTrue="1">
      <formula>B8=4</formula>
    </cfRule>
    <cfRule type="expression" dxfId="2" priority="181">
      <formula>B8=3</formula>
    </cfRule>
    <cfRule type="expression" dxfId="3" priority="161">
      <formula>B8=1</formula>
    </cfRule>
  </conditionalFormatting>
  <conditionalFormatting sqref="E8:E57">
    <cfRule type="expression" dxfId="0" priority="94">
      <formula>B8=0</formula>
    </cfRule>
    <cfRule type="expression" dxfId="1" priority="133" stopIfTrue="1">
      <formula>B8=4</formula>
    </cfRule>
    <cfRule type="expression" dxfId="2" priority="180" stopIfTrue="1">
      <formula>B8=3</formula>
    </cfRule>
    <cfRule type="expression" dxfId="3" priority="160">
      <formula>B8=1</formula>
    </cfRule>
  </conditionalFormatting>
  <conditionalFormatting sqref="H8:H57">
    <cfRule type="expression" dxfId="2" priority="159">
      <formula>G8=3</formula>
    </cfRule>
    <cfRule type="expression" dxfId="3" priority="156">
      <formula>G8=1</formula>
    </cfRule>
    <cfRule type="expression" dxfId="1" priority="131">
      <formula>G8=4</formula>
    </cfRule>
    <cfRule type="expression" dxfId="2" priority="132">
      <formula>G8=3</formula>
    </cfRule>
    <cfRule type="expression" dxfId="3" priority="126">
      <formula>G8=1</formula>
    </cfRule>
    <cfRule type="expression" dxfId="0" priority="91">
      <formula>G8=0</formula>
    </cfRule>
    <cfRule type="expression" dxfId="1" priority="92">
      <formula>G8=4</formula>
    </cfRule>
    <cfRule type="expression" dxfId="2" priority="93">
      <formula>G8=3</formula>
    </cfRule>
    <cfRule type="expression" dxfId="3" priority="84">
      <formula>G8=1</formula>
    </cfRule>
  </conditionalFormatting>
  <conditionalFormatting sqref="I8:I57">
    <cfRule type="expression" dxfId="2" priority="158">
      <formula>G8=3</formula>
    </cfRule>
    <cfRule type="expression" dxfId="3" priority="155">
      <formula>G8=1</formula>
    </cfRule>
    <cfRule type="expression" dxfId="1" priority="129" stopIfTrue="1">
      <formula>G8=4</formula>
    </cfRule>
    <cfRule type="expression" dxfId="2" priority="130">
      <formula>G8=3</formula>
    </cfRule>
    <cfRule type="expression" dxfId="3" priority="125">
      <formula>G8=1</formula>
    </cfRule>
    <cfRule type="expression" dxfId="0" priority="88">
      <formula>G8=0</formula>
    </cfRule>
    <cfRule type="expression" dxfId="1" priority="89" stopIfTrue="1">
      <formula>G8=4</formula>
    </cfRule>
    <cfRule type="expression" dxfId="2" priority="90">
      <formula>G8=3</formula>
    </cfRule>
    <cfRule type="expression" dxfId="3" priority="83">
      <formula>G8=1</formula>
    </cfRule>
  </conditionalFormatting>
  <conditionalFormatting sqref="J8:J57">
    <cfRule type="expression" dxfId="2" priority="157">
      <formula>G8=3</formula>
    </cfRule>
    <cfRule type="expression" dxfId="3" priority="154">
      <formula>G8=1</formula>
    </cfRule>
    <cfRule type="expression" dxfId="1" priority="127" stopIfTrue="1">
      <formula>G8=4</formula>
    </cfRule>
    <cfRule type="expression" dxfId="2" priority="128" stopIfTrue="1">
      <formula>G8=3</formula>
    </cfRule>
    <cfRule type="expression" dxfId="3" priority="124">
      <formula>G8=1</formula>
    </cfRule>
    <cfRule type="expression" dxfId="0" priority="85">
      <formula>G8=0</formula>
    </cfRule>
    <cfRule type="expression" dxfId="1" priority="86" stopIfTrue="1">
      <formula>G8=4</formula>
    </cfRule>
    <cfRule type="expression" dxfId="2" priority="87" stopIfTrue="1">
      <formula>G8=3</formula>
    </cfRule>
    <cfRule type="expression" dxfId="3" priority="82">
      <formula>G8=1</formula>
    </cfRule>
  </conditionalFormatting>
  <conditionalFormatting sqref="M8:M57">
    <cfRule type="expression" dxfId="2" priority="153">
      <formula>L8=3</formula>
    </cfRule>
    <cfRule type="expression" dxfId="3" priority="150">
      <formula>L8=1</formula>
    </cfRule>
    <cfRule type="expression" dxfId="1" priority="122">
      <formula>L8=4</formula>
    </cfRule>
    <cfRule type="expression" dxfId="2" priority="123">
      <formula>L8=3</formula>
    </cfRule>
    <cfRule type="expression" dxfId="3" priority="117">
      <formula>L8=1</formula>
    </cfRule>
    <cfRule type="expression" dxfId="2" priority="81">
      <formula>L8=3</formula>
    </cfRule>
    <cfRule type="expression" dxfId="3" priority="78">
      <formula>L8=1</formula>
    </cfRule>
    <cfRule type="expression" dxfId="1" priority="74">
      <formula>L8=4</formula>
    </cfRule>
    <cfRule type="expression" dxfId="2" priority="75">
      <formula>L8=3</formula>
    </cfRule>
    <cfRule type="expression" dxfId="3" priority="69">
      <formula>L8=1</formula>
    </cfRule>
    <cfRule type="expression" dxfId="0" priority="64">
      <formula>L8=0</formula>
    </cfRule>
    <cfRule type="expression" dxfId="1" priority="65">
      <formula>L8=4</formula>
    </cfRule>
    <cfRule type="expression" dxfId="2" priority="66">
      <formula>L8=3</formula>
    </cfRule>
    <cfRule type="expression" dxfId="3" priority="57">
      <formula>L8=1</formula>
    </cfRule>
  </conditionalFormatting>
  <conditionalFormatting sqref="N8:N57">
    <cfRule type="expression" dxfId="2" priority="152">
      <formula>L8=3</formula>
    </cfRule>
    <cfRule type="expression" dxfId="3" priority="149">
      <formula>L8=1</formula>
    </cfRule>
    <cfRule type="expression" dxfId="1" priority="120" stopIfTrue="1">
      <formula>L8=4</formula>
    </cfRule>
    <cfRule type="expression" dxfId="2" priority="121">
      <formula>L8=3</formula>
    </cfRule>
    <cfRule type="expression" dxfId="3" priority="116">
      <formula>L8=1</formula>
    </cfRule>
    <cfRule type="expression" dxfId="2" priority="80">
      <formula>L8=3</formula>
    </cfRule>
    <cfRule type="expression" dxfId="3" priority="77">
      <formula>L8=1</formula>
    </cfRule>
    <cfRule type="expression" dxfId="1" priority="72" stopIfTrue="1">
      <formula>L8=4</formula>
    </cfRule>
    <cfRule type="expression" dxfId="2" priority="73">
      <formula>L8=3</formula>
    </cfRule>
    <cfRule type="expression" dxfId="3" priority="68">
      <formula>L8=1</formula>
    </cfRule>
    <cfRule type="expression" dxfId="0" priority="61">
      <formula>L8=0</formula>
    </cfRule>
    <cfRule type="expression" dxfId="1" priority="62" stopIfTrue="1">
      <formula>L8=4</formula>
    </cfRule>
    <cfRule type="expression" dxfId="2" priority="63">
      <formula>L8=3</formula>
    </cfRule>
    <cfRule type="expression" dxfId="3" priority="56">
      <formula>L8=1</formula>
    </cfRule>
  </conditionalFormatting>
  <conditionalFormatting sqref="O8:O57">
    <cfRule type="expression" dxfId="2" priority="151">
      <formula>L8=3</formula>
    </cfRule>
    <cfRule type="expression" dxfId="3" priority="148">
      <formula>L8=1</formula>
    </cfRule>
    <cfRule type="expression" dxfId="1" priority="118" stopIfTrue="1">
      <formula>L8=4</formula>
    </cfRule>
    <cfRule type="expression" dxfId="2" priority="119" stopIfTrue="1">
      <formula>L8=3</formula>
    </cfRule>
    <cfRule type="expression" dxfId="3" priority="115">
      <formula>L8=1</formula>
    </cfRule>
    <cfRule type="expression" dxfId="2" priority="79">
      <formula>L8=3</formula>
    </cfRule>
    <cfRule type="expression" dxfId="3" priority="76">
      <formula>L8=1</formula>
    </cfRule>
    <cfRule type="expression" dxfId="1" priority="70" stopIfTrue="1">
      <formula>L8=4</formula>
    </cfRule>
    <cfRule type="expression" dxfId="2" priority="71" stopIfTrue="1">
      <formula>L8=3</formula>
    </cfRule>
    <cfRule type="expression" dxfId="3" priority="67">
      <formula>L8=1</formula>
    </cfRule>
    <cfRule type="expression" dxfId="0" priority="58">
      <formula>L8=0</formula>
    </cfRule>
    <cfRule type="expression" dxfId="1" priority="59" stopIfTrue="1">
      <formula>L8=4</formula>
    </cfRule>
    <cfRule type="expression" dxfId="2" priority="60" stopIfTrue="1">
      <formula>L8=3</formula>
    </cfRule>
    <cfRule type="expression" dxfId="3" priority="55">
      <formula>L8=1</formula>
    </cfRule>
  </conditionalFormatting>
  <conditionalFormatting sqref="R8:R57">
    <cfRule type="expression" dxfId="2" priority="147">
      <formula>Q8=3</formula>
    </cfRule>
    <cfRule type="expression" dxfId="3" priority="144">
      <formula>Q8=1</formula>
    </cfRule>
    <cfRule type="expression" dxfId="1" priority="113">
      <formula>Q8=4</formula>
    </cfRule>
    <cfRule type="expression" dxfId="2" priority="114">
      <formula>Q8=3</formula>
    </cfRule>
    <cfRule type="expression" dxfId="3" priority="108">
      <formula>Q8=1</formula>
    </cfRule>
    <cfRule type="expression" dxfId="2" priority="54">
      <formula>Q8=3</formula>
    </cfRule>
    <cfRule type="expression" dxfId="3" priority="51">
      <formula>Q8=1</formula>
    </cfRule>
    <cfRule type="expression" dxfId="1" priority="47">
      <formula>Q8=4</formula>
    </cfRule>
    <cfRule type="expression" dxfId="2" priority="48">
      <formula>Q8=3</formula>
    </cfRule>
    <cfRule type="expression" dxfId="3" priority="42">
      <formula>Q8=1</formula>
    </cfRule>
    <cfRule type="expression" dxfId="0" priority="37">
      <formula>Q8=0</formula>
    </cfRule>
    <cfRule type="expression" dxfId="1" priority="38">
      <formula>Q8=4</formula>
    </cfRule>
    <cfRule type="expression" dxfId="2" priority="39">
      <formula>Q8=3</formula>
    </cfRule>
    <cfRule type="expression" dxfId="3" priority="30">
      <formula>Q8=1</formula>
    </cfRule>
  </conditionalFormatting>
  <conditionalFormatting sqref="S8:S57">
    <cfRule type="expression" dxfId="2" priority="146">
      <formula>Q8=3</formula>
    </cfRule>
    <cfRule type="expression" dxfId="3" priority="143">
      <formula>Q8=1</formula>
    </cfRule>
    <cfRule type="expression" dxfId="1" priority="111" stopIfTrue="1">
      <formula>Q8=4</formula>
    </cfRule>
    <cfRule type="expression" dxfId="2" priority="112">
      <formula>Q8=3</formula>
    </cfRule>
    <cfRule type="expression" dxfId="3" priority="107">
      <formula>Q8=1</formula>
    </cfRule>
    <cfRule type="expression" dxfId="2" priority="53">
      <formula>Q8=3</formula>
    </cfRule>
    <cfRule type="expression" dxfId="3" priority="50">
      <formula>Q8=1</formula>
    </cfRule>
    <cfRule type="expression" dxfId="1" priority="45" stopIfTrue="1">
      <formula>Q8=4</formula>
    </cfRule>
    <cfRule type="expression" dxfId="2" priority="46">
      <formula>Q8=3</formula>
    </cfRule>
    <cfRule type="expression" dxfId="3" priority="41">
      <formula>Q8=1</formula>
    </cfRule>
    <cfRule type="expression" dxfId="0" priority="34">
      <formula>Q8=0</formula>
    </cfRule>
    <cfRule type="expression" dxfId="1" priority="35" stopIfTrue="1">
      <formula>Q8=4</formula>
    </cfRule>
    <cfRule type="expression" dxfId="2" priority="36">
      <formula>Q8=3</formula>
    </cfRule>
    <cfRule type="expression" dxfId="3" priority="29">
      <formula>Q8=1</formula>
    </cfRule>
  </conditionalFormatting>
  <conditionalFormatting sqref="T8:T57">
    <cfRule type="expression" dxfId="2" priority="145">
      <formula>Q8=3</formula>
    </cfRule>
    <cfRule type="expression" dxfId="3" priority="142">
      <formula>Q8=1</formula>
    </cfRule>
    <cfRule type="expression" dxfId="1" priority="109" stopIfTrue="1">
      <formula>Q8=4</formula>
    </cfRule>
    <cfRule type="expression" dxfId="2" priority="110" stopIfTrue="1">
      <formula>Q8=3</formula>
    </cfRule>
    <cfRule type="expression" dxfId="3" priority="106">
      <formula>Q8=1</formula>
    </cfRule>
    <cfRule type="expression" dxfId="2" priority="52">
      <formula>Q8=3</formula>
    </cfRule>
    <cfRule type="expression" dxfId="3" priority="49">
      <formula>Q8=1</formula>
    </cfRule>
    <cfRule type="expression" dxfId="1" priority="43" stopIfTrue="1">
      <formula>Q8=4</formula>
    </cfRule>
    <cfRule type="expression" dxfId="2" priority="44" stopIfTrue="1">
      <formula>Q8=3</formula>
    </cfRule>
    <cfRule type="expression" dxfId="3" priority="40">
      <formula>Q8=1</formula>
    </cfRule>
    <cfRule type="expression" dxfId="0" priority="31">
      <formula>Q8=0</formula>
    </cfRule>
    <cfRule type="expression" dxfId="1" priority="32" stopIfTrue="1">
      <formula>Q8=4</formula>
    </cfRule>
    <cfRule type="expression" dxfId="2" priority="33" stopIfTrue="1">
      <formula>Q8=3</formula>
    </cfRule>
    <cfRule type="expression" dxfId="3" priority="28">
      <formula>Q8=1</formula>
    </cfRule>
  </conditionalFormatting>
  <conditionalFormatting sqref="W8:W57">
    <cfRule type="expression" dxfId="2" priority="141">
      <formula>V8=3</formula>
    </cfRule>
    <cfRule type="expression" dxfId="3" priority="138">
      <formula>V8=1</formula>
    </cfRule>
    <cfRule type="expression" dxfId="1" priority="104">
      <formula>V8=4</formula>
    </cfRule>
    <cfRule type="expression" dxfId="2" priority="105">
      <formula>V8=3</formula>
    </cfRule>
    <cfRule type="expression" dxfId="3" priority="99">
      <formula>V8=1</formula>
    </cfRule>
    <cfRule type="expression" dxfId="2" priority="27">
      <formula>V8=3</formula>
    </cfRule>
    <cfRule type="expression" dxfId="3" priority="24">
      <formula>V8=1</formula>
    </cfRule>
    <cfRule type="expression" dxfId="1" priority="20">
      <formula>V8=4</formula>
    </cfRule>
    <cfRule type="expression" dxfId="2" priority="21">
      <formula>V8=3</formula>
    </cfRule>
    <cfRule type="expression" dxfId="3" priority="15">
      <formula>V8=1</formula>
    </cfRule>
    <cfRule type="expression" dxfId="0" priority="10">
      <formula>V8=0</formula>
    </cfRule>
    <cfRule type="expression" dxfId="1" priority="11">
      <formula>V8=4</formula>
    </cfRule>
    <cfRule type="expression" dxfId="2" priority="12">
      <formula>V8=3</formula>
    </cfRule>
    <cfRule type="expression" dxfId="3" priority="3">
      <formula>V8=1</formula>
    </cfRule>
  </conditionalFormatting>
  <conditionalFormatting sqref="X8:X57">
    <cfRule type="expression" dxfId="2" priority="140">
      <formula>V8=3</formula>
    </cfRule>
    <cfRule type="expression" dxfId="3" priority="137">
      <formula>V8=1</formula>
    </cfRule>
    <cfRule type="expression" dxfId="1" priority="102" stopIfTrue="1">
      <formula>V8=4</formula>
    </cfRule>
    <cfRule type="expression" dxfId="2" priority="103">
      <formula>V8=3</formula>
    </cfRule>
    <cfRule type="expression" dxfId="3" priority="98">
      <formula>V8=1</formula>
    </cfRule>
    <cfRule type="expression" dxfId="2" priority="26">
      <formula>V8=3</formula>
    </cfRule>
    <cfRule type="expression" dxfId="3" priority="23">
      <formula>V8=1</formula>
    </cfRule>
    <cfRule type="expression" dxfId="1" priority="18" stopIfTrue="1">
      <formula>V8=4</formula>
    </cfRule>
    <cfRule type="expression" dxfId="2" priority="19">
      <formula>V8=3</formula>
    </cfRule>
    <cfRule type="expression" dxfId="3" priority="14">
      <formula>V8=1</formula>
    </cfRule>
    <cfRule type="expression" dxfId="0" priority="7">
      <formula>V8=0</formula>
    </cfRule>
    <cfRule type="expression" dxfId="1" priority="8" stopIfTrue="1">
      <formula>V8=4</formula>
    </cfRule>
    <cfRule type="expression" dxfId="2" priority="9">
      <formula>V8=3</formula>
    </cfRule>
    <cfRule type="expression" dxfId="3" priority="2">
      <formula>V8=1</formula>
    </cfRule>
  </conditionalFormatting>
  <conditionalFormatting sqref="Y8:Y57">
    <cfRule type="expression" dxfId="2" priority="139">
      <formula>V8=3</formula>
    </cfRule>
    <cfRule type="expression" dxfId="3" priority="136">
      <formula>V8=1</formula>
    </cfRule>
    <cfRule type="expression" dxfId="1" priority="100" stopIfTrue="1">
      <formula>V8=4</formula>
    </cfRule>
    <cfRule type="expression" dxfId="2" priority="101" stopIfTrue="1">
      <formula>V8=3</formula>
    </cfRule>
    <cfRule type="expression" dxfId="3" priority="97">
      <formula>V8=1</formula>
    </cfRule>
    <cfRule type="expression" dxfId="2" priority="25">
      <formula>V8=3</formula>
    </cfRule>
    <cfRule type="expression" dxfId="3" priority="22">
      <formula>V8=1</formula>
    </cfRule>
    <cfRule type="expression" dxfId="1" priority="16" stopIfTrue="1">
      <formula>V8=4</formula>
    </cfRule>
    <cfRule type="expression" dxfId="2" priority="17" stopIfTrue="1">
      <formula>V8=3</formula>
    </cfRule>
    <cfRule type="expression" dxfId="3" priority="13">
      <formula>V8=1</formula>
    </cfRule>
    <cfRule type="expression" dxfId="0" priority="4">
      <formula>V8=0</formula>
    </cfRule>
    <cfRule type="expression" dxfId="1" priority="5" stopIfTrue="1">
      <formula>V8=4</formula>
    </cfRule>
    <cfRule type="expression" dxfId="2" priority="6" stopIfTrue="1">
      <formula>V8=3</formula>
    </cfRule>
    <cfRule type="expression" dxfId="3" priority="1">
      <formula>V8=1</formula>
    </cfRule>
  </conditionalFormatting>
  <pageMargins left="0.708661417322835" right="0.708661417322835" top="0.748031496062992" bottom="0.748031496062992" header="0.31496062992126" footer="0.31496062992126"/>
  <pageSetup paperSize="1" scale="56" orientation="landscape"/>
  <headerFooter>
    <oddHeader>&amp;REIU SAFE CITY INDEX 2014</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580646" name="cnt_Country_Highlight" r:id="rId3">
              <controlPr print="0" defaultSize="0">
                <anchor>
                  <from>
                    <xdr:col>0</xdr:col>
                    <xdr:colOff>123825</xdr:colOff>
                    <xdr:row>2</xdr:row>
                    <xdr:rowOff>200025</xdr:rowOff>
                  </from>
                  <to>
                    <xdr:col>3</xdr:col>
                    <xdr:colOff>704850</xdr:colOff>
                    <xdr:row>2</xdr:row>
                    <xdr:rowOff>400050</xdr:rowOff>
                  </to>
                </anchor>
              </controlPr>
            </control>
          </mc:Choice>
        </mc:AlternateContent>
        <mc:AlternateContent xmlns:mc="http://schemas.openxmlformats.org/markup-compatibility/2006">
          <mc:Choice Requires="x14">
            <control shapeId="580647" name="cnt_highlight_group" r:id="rId4">
              <controlPr print="0" defaultSize="0">
                <anchor>
                  <from>
                    <xdr:col>8</xdr:col>
                    <xdr:colOff>228600</xdr:colOff>
                    <xdr:row>2</xdr:row>
                    <xdr:rowOff>200025</xdr:rowOff>
                  </from>
                  <to>
                    <xdr:col>9</xdr:col>
                    <xdr:colOff>142875</xdr:colOff>
                    <xdr:row>2</xdr:row>
                    <xdr:rowOff>409575</xdr:rowOff>
                  </to>
                </anchor>
              </controlPr>
            </control>
          </mc:Choice>
        </mc:AlternateContent>
        <mc:AlternateContent xmlns:mc="http://schemas.openxmlformats.org/markup-compatibility/2006">
          <mc:Choice Requires="x14">
            <control shapeId="580649" name="Drop Down 41" r:id="rId5">
              <controlPr print="0" defaultSize="0">
                <anchor>
                  <from>
                    <xdr:col>3</xdr:col>
                    <xdr:colOff>981075</xdr:colOff>
                    <xdr:row>2</xdr:row>
                    <xdr:rowOff>200025</xdr:rowOff>
                  </from>
                  <to>
                    <xdr:col>7</xdr:col>
                    <xdr:colOff>152400</xdr:colOff>
                    <xdr:row>2</xdr:row>
                    <xdr:rowOff>400050</xdr:rowOff>
                  </to>
                </anchor>
              </controlPr>
            </control>
          </mc:Choice>
        </mc:AlternateContent>
        <mc:AlternateContent xmlns:mc="http://schemas.openxmlformats.org/markup-compatibility/2006">
          <mc:Choice Requires="x14">
            <control shapeId="580650" name="Check Box 42" r:id="rId6">
              <controlPr defaultSize="0">
                <anchor moveWithCells="1">
                  <from>
                    <xdr:col>20</xdr:col>
                    <xdr:colOff>247650</xdr:colOff>
                    <xdr:row>2</xdr:row>
                    <xdr:rowOff>104775</xdr:rowOff>
                  </from>
                  <to>
                    <xdr:col>24</xdr:col>
                    <xdr:colOff>0</xdr:colOff>
                    <xdr:row>2</xdr:row>
                    <xdr:rowOff>323850</xdr:rowOff>
                  </to>
                </anchor>
              </controlPr>
            </control>
          </mc:Choice>
        </mc:AlternateContent>
        <mc:AlternateContent xmlns:mc="http://schemas.openxmlformats.org/markup-compatibility/2006">
          <mc:Choice Requires="x14">
            <control shapeId="580651" name="Drop Down 43" r:id="rId7">
              <controlPr print="0" defaultSize="0">
                <anchor>
                  <from>
                    <xdr:col>10</xdr:col>
                    <xdr:colOff>66675</xdr:colOff>
                    <xdr:row>2</xdr:row>
                    <xdr:rowOff>200025</xdr:rowOff>
                  </from>
                  <to>
                    <xdr:col>13</xdr:col>
                    <xdr:colOff>733425</xdr:colOff>
                    <xdr:row>2</xdr:row>
                    <xdr:rowOff>409575</xdr:rowOff>
                  </to>
                </anchor>
              </controlPr>
            </control>
          </mc:Choice>
        </mc:AlternateContent>
        <mc:AlternateContent xmlns:mc="http://schemas.openxmlformats.org/markup-compatibility/2006">
          <mc:Choice Requires="x14">
            <control shapeId="580652" name="Drop Down 44" r:id="rId8">
              <controlPr defaultSize="0">
                <anchor moveWithCells="1">
                  <from>
                    <xdr:col>13</xdr:col>
                    <xdr:colOff>971550</xdr:colOff>
                    <xdr:row>2</xdr:row>
                    <xdr:rowOff>180975</xdr:rowOff>
                  </from>
                  <to>
                    <xdr:col>18</xdr:col>
                    <xdr:colOff>0</xdr:colOff>
                    <xdr:row>2</xdr:row>
                    <xdr:rowOff>409575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FFC000"/>
  </sheetPr>
  <dimension ref="A1:AC58"/>
  <sheetViews>
    <sheetView zoomScale="120" zoomScaleNormal="120" topLeftCell="J1" workbookViewId="0">
      <pane ySplit="1" topLeftCell="A16" activePane="bottomLeft" state="frozen"/>
      <selection/>
      <selection pane="bottomLeft" activeCell="N16" sqref="N16"/>
    </sheetView>
  </sheetViews>
  <sheetFormatPr defaultColWidth="9" defaultRowHeight="15"/>
  <cols>
    <col min="1" max="1" width="5.14285714285714" style="213" customWidth="1"/>
    <col min="2" max="2" width="12.4285714285714" style="213" customWidth="1"/>
    <col min="3" max="3" width="15.4285714285714" style="213" customWidth="1"/>
    <col min="4" max="4" width="3.85714285714286" style="213" customWidth="1"/>
    <col min="5" max="5" width="4.14285714285714" style="213" customWidth="1"/>
    <col min="6" max="6" width="4.14285714285714" style="214" customWidth="1"/>
    <col min="7" max="7" width="16.1428571428571" style="213" customWidth="1"/>
    <col min="8" max="8" width="39.2857142857143" style="213" customWidth="1"/>
    <col min="9" max="9" width="38" style="213" customWidth="1"/>
    <col min="10" max="10" width="25.2857142857143" style="213" customWidth="1"/>
    <col min="11" max="11" width="7.14285714285714" style="213" customWidth="1"/>
    <col min="12" max="12" width="13" style="213" customWidth="1"/>
    <col min="13" max="16" width="9.14285714285714" style="213"/>
    <col min="17" max="17" width="3.71428571428571" style="213" customWidth="1"/>
    <col min="18" max="18" width="3.85714285714286" style="213" customWidth="1"/>
    <col min="19" max="19" width="6.71428571428571" style="213" customWidth="1"/>
    <col min="20" max="20" width="4.14285714285714" style="213" customWidth="1"/>
    <col min="21" max="23" width="9.14285714285714" style="215"/>
    <col min="24" max="24" width="9.14285714285714" style="213"/>
    <col min="25" max="25" width="9.14285714285714" style="216"/>
    <col min="26" max="26" width="40.1428571428571" style="216" customWidth="1"/>
    <col min="27" max="29" width="9.14285714285714" style="217"/>
    <col min="30" max="16384" width="9.14285714285714" style="186"/>
  </cols>
  <sheetData>
    <row r="1" s="206" customFormat="1" ht="11.25" spans="1:29">
      <c r="A1" s="218" t="s">
        <v>34</v>
      </c>
      <c r="B1" s="218" t="s">
        <v>35</v>
      </c>
      <c r="C1" s="218" t="s">
        <v>36</v>
      </c>
      <c r="D1" s="218" t="s">
        <v>37</v>
      </c>
      <c r="E1" s="218" t="s">
        <v>38</v>
      </c>
      <c r="F1" s="219" t="s">
        <v>39</v>
      </c>
      <c r="G1" s="218" t="s">
        <v>40</v>
      </c>
      <c r="H1" s="218" t="s">
        <v>41</v>
      </c>
      <c r="I1" s="218" t="s">
        <v>42</v>
      </c>
      <c r="J1" s="218" t="s">
        <v>43</v>
      </c>
      <c r="K1" s="218"/>
      <c r="L1" s="218" t="s">
        <v>44</v>
      </c>
      <c r="M1" s="218" t="s">
        <v>45</v>
      </c>
      <c r="N1" s="218" t="s">
        <v>46</v>
      </c>
      <c r="O1" s="218" t="s">
        <v>47</v>
      </c>
      <c r="P1" s="218" t="s">
        <v>48</v>
      </c>
      <c r="Q1" s="218" t="s">
        <v>49</v>
      </c>
      <c r="R1" s="218" t="s">
        <v>50</v>
      </c>
      <c r="S1" s="218" t="s">
        <v>51</v>
      </c>
      <c r="T1" s="218" t="s">
        <v>52</v>
      </c>
      <c r="U1" s="218" t="s">
        <v>53</v>
      </c>
      <c r="V1" s="218" t="s">
        <v>54</v>
      </c>
      <c r="W1" s="218" t="s">
        <v>55</v>
      </c>
      <c r="X1" s="218" t="s">
        <v>56</v>
      </c>
      <c r="Y1" s="231"/>
      <c r="Z1" s="231" t="s">
        <v>57</v>
      </c>
      <c r="AA1" s="231" t="s">
        <v>58</v>
      </c>
      <c r="AB1" s="231" t="s">
        <v>59</v>
      </c>
      <c r="AC1" s="231" t="s">
        <v>60</v>
      </c>
    </row>
    <row r="2" s="210" customFormat="1" ht="12.75" customHeight="1" spans="1:29">
      <c r="A2" s="208">
        <v>1</v>
      </c>
      <c r="B2" s="208" t="s">
        <v>61</v>
      </c>
      <c r="C2" s="208"/>
      <c r="D2" s="208">
        <v>0</v>
      </c>
      <c r="E2" s="208">
        <v>0</v>
      </c>
      <c r="F2" s="220"/>
      <c r="G2" s="208" t="s">
        <v>61</v>
      </c>
      <c r="H2" s="208" t="str">
        <f>IF(uxbWorks!$B$9,"WEIGHTED SUM OF THE OUTPUT/INPUT RATIOS","TOTAL SCORE")</f>
        <v>TOTAL SCORE</v>
      </c>
      <c r="I2" s="208" t="str">
        <f>IF(uxbWorks!B9,V2,U2)</f>
        <v>Weighted sum of the category scores;
1) Knowledge-skill base
2) Creative destruction
3) Appropriate institutions
4) Innovation</v>
      </c>
      <c r="J2" s="208" t="str">
        <f>IF(uxbWorks!B9,"Ratio of weighted sum of output categories over input category score","Weighted sum of the category scores")</f>
        <v>Weighted sum of the category scores</v>
      </c>
      <c r="K2" s="208"/>
      <c r="L2" s="208"/>
      <c r="M2" s="208">
        <v>1</v>
      </c>
      <c r="N2" s="208">
        <v>0</v>
      </c>
      <c r="O2" s="208"/>
      <c r="P2" s="208"/>
      <c r="Q2" s="208"/>
      <c r="R2" s="208"/>
      <c r="S2" s="208"/>
      <c r="T2" s="51">
        <f>IF(uxbWorks!B9,2,1)</f>
        <v>1</v>
      </c>
      <c r="U2" s="230" t="s">
        <v>62</v>
      </c>
      <c r="V2" s="230" t="s">
        <v>63</v>
      </c>
      <c r="W2" s="208"/>
      <c r="X2" s="208"/>
      <c r="Y2" s="232"/>
      <c r="Z2" s="233" t="str">
        <f>IF($F2&lt;&gt;"",CONCATENATE($F2,") ",$H2),$H2)</f>
        <v>TOTAL SCORE</v>
      </c>
      <c r="AA2" s="233" t="str">
        <f>IF(T2="","0.0",CHOOSE(T2+1,"#,0","#,0.0","#,0.00","#,0.000"))</f>
        <v>#,0.0</v>
      </c>
      <c r="AB2" s="233" t="e">
        <f>INDEX(Weights!$F$7:$F$74,MATCH($B2,Weights!$B$7:$B$74,0))</f>
        <v>#N/A</v>
      </c>
      <c r="AC2" s="233"/>
    </row>
    <row r="3" s="211" customFormat="1" ht="17.25" customHeight="1" spans="1:29">
      <c r="A3" s="209">
        <v>2</v>
      </c>
      <c r="B3" s="209" t="s">
        <v>64</v>
      </c>
      <c r="C3" s="209" t="s">
        <v>61</v>
      </c>
      <c r="D3" s="209">
        <v>1</v>
      </c>
      <c r="E3" s="209">
        <v>0</v>
      </c>
      <c r="F3" s="221">
        <v>1</v>
      </c>
      <c r="G3" s="209" t="s">
        <v>65</v>
      </c>
      <c r="H3" s="209" t="str">
        <f>IF(uxbWorks!$B$9,"RATIO of OUTPUT/INPUT (DIGITAL SECURITY)","DIGITAL SECURITY")</f>
        <v>DIGITAL SECURITY</v>
      </c>
      <c r="I3" s="225" t="s">
        <v>66</v>
      </c>
      <c r="J3" s="226" t="s">
        <v>67</v>
      </c>
      <c r="K3" s="209"/>
      <c r="L3" s="209"/>
      <c r="M3" s="209">
        <v>1</v>
      </c>
      <c r="N3" s="209">
        <v>0</v>
      </c>
      <c r="O3" s="209"/>
      <c r="P3" s="209"/>
      <c r="Q3" s="209"/>
      <c r="R3" s="209"/>
      <c r="S3" s="209"/>
      <c r="T3" s="51">
        <v>1</v>
      </c>
      <c r="U3" s="209"/>
      <c r="V3" s="209"/>
      <c r="W3" s="209"/>
      <c r="X3" s="209"/>
      <c r="Y3" s="234"/>
      <c r="Z3" s="235" t="str">
        <f t="shared" ref="Z3:Z58" si="0">IF($F3&lt;&gt;"",CONCATENATE($F3,") ",$H3),$H3)</f>
        <v>1) DIGITAL SECURITY</v>
      </c>
      <c r="AA3" s="235" t="str">
        <f t="shared" ref="AA3:AA14" si="1">IF(T3="","0.0",CHOOSE(T3+1,"#,0","#,0.0","#,0.00","#,0.000"))</f>
        <v>#,0.0</v>
      </c>
      <c r="AB3" s="235">
        <f>INDEX(Weights!$F$7:$F$74,MATCH($B3,Weights!$B$7:$B$74,0))</f>
        <v>1</v>
      </c>
      <c r="AC3" s="235">
        <f t="shared" ref="AC3:AC34" si="2">AB3/SUMIF(C$3:C$58,$C3,AB$3:AB$58)</f>
        <v>0.25</v>
      </c>
    </row>
    <row r="4" s="204" customFormat="1" ht="17.25" customHeight="1" spans="1:29">
      <c r="A4" s="205">
        <v>3</v>
      </c>
      <c r="B4" s="205" t="s">
        <v>68</v>
      </c>
      <c r="C4" s="205" t="s">
        <v>64</v>
      </c>
      <c r="D4" s="205">
        <v>2</v>
      </c>
      <c r="E4" s="205">
        <v>0</v>
      </c>
      <c r="F4" s="222" t="s">
        <v>69</v>
      </c>
      <c r="G4" s="205" t="s">
        <v>70</v>
      </c>
      <c r="H4" s="205" t="s">
        <v>71</v>
      </c>
      <c r="I4" s="227" t="s">
        <v>72</v>
      </c>
      <c r="J4" s="227" t="s">
        <v>73</v>
      </c>
      <c r="K4" s="205"/>
      <c r="L4" s="205"/>
      <c r="M4" s="205">
        <v>1</v>
      </c>
      <c r="N4" s="205">
        <v>0</v>
      </c>
      <c r="O4" s="205"/>
      <c r="P4" s="205"/>
      <c r="Q4" s="205"/>
      <c r="R4" s="205"/>
      <c r="S4" s="205"/>
      <c r="T4" s="51">
        <v>1</v>
      </c>
      <c r="U4" s="205"/>
      <c r="V4" s="205"/>
      <c r="W4" s="205"/>
      <c r="X4" s="205" t="s">
        <v>74</v>
      </c>
      <c r="Y4" s="236"/>
      <c r="Z4" s="236" t="str">
        <f t="shared" si="0"/>
        <v>1.1) Digital Security (Inputs)</v>
      </c>
      <c r="AA4" s="236" t="str">
        <f t="shared" ref="AA4:AA10" si="3">IF(T4="","0.0",CHOOSE(T4+1,"#,0","#,0.0","#,0.00","#,0.000"))</f>
        <v>#,0.0</v>
      </c>
      <c r="AB4" s="236">
        <f>INDEX(Weights!$F$7:$F$74,MATCH($B4,Weights!$B$7:$B$74,0))</f>
        <v>1</v>
      </c>
      <c r="AC4" s="236">
        <f t="shared" si="2"/>
        <v>0.5</v>
      </c>
    </row>
    <row r="5" s="212" customFormat="1" ht="18" customHeight="1" spans="1:29">
      <c r="A5" s="207">
        <v>4</v>
      </c>
      <c r="B5" s="207" t="s">
        <v>75</v>
      </c>
      <c r="C5" s="207" t="s">
        <v>68</v>
      </c>
      <c r="D5" s="207">
        <v>3</v>
      </c>
      <c r="E5" s="207">
        <v>0</v>
      </c>
      <c r="F5" s="223" t="s">
        <v>76</v>
      </c>
      <c r="G5" s="207" t="s">
        <v>77</v>
      </c>
      <c r="H5" s="224" t="s">
        <v>78</v>
      </c>
      <c r="I5" s="207" t="s">
        <v>79</v>
      </c>
      <c r="J5" s="207" t="s">
        <v>80</v>
      </c>
      <c r="K5" s="207"/>
      <c r="L5" s="224"/>
      <c r="M5" s="207">
        <v>3</v>
      </c>
      <c r="N5" s="207">
        <v>1</v>
      </c>
      <c r="O5" s="207"/>
      <c r="P5" s="207"/>
      <c r="Q5" s="207">
        <v>0</v>
      </c>
      <c r="R5" s="207">
        <v>5</v>
      </c>
      <c r="S5" s="207"/>
      <c r="T5" s="51">
        <v>0</v>
      </c>
      <c r="U5" s="207"/>
      <c r="V5" s="207"/>
      <c r="W5" s="207"/>
      <c r="X5" s="207"/>
      <c r="Y5" s="237"/>
      <c r="Z5" s="237" t="str">
        <f t="shared" si="0"/>
        <v>1.1.1) Privacy policy</v>
      </c>
      <c r="AA5" s="237" t="str">
        <f t="shared" si="3"/>
        <v>#,0</v>
      </c>
      <c r="AB5" s="237">
        <f>INDEX(Weights!$F$7:$F$74,MATCH($B5,Weights!$B$7:$B$74,0))</f>
        <v>1</v>
      </c>
      <c r="AC5" s="237">
        <f t="shared" si="2"/>
        <v>0.2</v>
      </c>
    </row>
    <row r="6" s="212" customFormat="1" spans="1:29">
      <c r="A6" s="207">
        <v>5</v>
      </c>
      <c r="B6" s="207" t="s">
        <v>81</v>
      </c>
      <c r="C6" s="207" t="s">
        <v>68</v>
      </c>
      <c r="D6" s="207">
        <v>3</v>
      </c>
      <c r="E6" s="207">
        <v>0</v>
      </c>
      <c r="F6" s="223" t="s">
        <v>82</v>
      </c>
      <c r="G6" s="207" t="s">
        <v>77</v>
      </c>
      <c r="H6" s="224" t="s">
        <v>83</v>
      </c>
      <c r="I6" s="207" t="s">
        <v>84</v>
      </c>
      <c r="J6" s="207" t="s">
        <v>85</v>
      </c>
      <c r="K6" s="207"/>
      <c r="L6" s="224"/>
      <c r="M6" s="207">
        <v>3</v>
      </c>
      <c r="N6" s="207">
        <v>0</v>
      </c>
      <c r="O6" s="207"/>
      <c r="P6" s="207"/>
      <c r="Q6" s="207">
        <v>0</v>
      </c>
      <c r="R6" s="207">
        <v>3</v>
      </c>
      <c r="S6" s="207"/>
      <c r="T6" s="51">
        <v>0</v>
      </c>
      <c r="U6" s="207"/>
      <c r="V6" s="207"/>
      <c r="W6" s="207"/>
      <c r="X6" s="207"/>
      <c r="Y6" s="237"/>
      <c r="Z6" s="237" t="str">
        <f t="shared" si="0"/>
        <v>1.1.2) Citizen awareness of digital threats</v>
      </c>
      <c r="AA6" s="237" t="str">
        <f t="shared" si="3"/>
        <v>#,0</v>
      </c>
      <c r="AB6" s="237">
        <f>INDEX(Weights!$F$7:$F$74,MATCH($B6,Weights!$B$7:$B$74,0))</f>
        <v>1</v>
      </c>
      <c r="AC6" s="237">
        <f t="shared" si="2"/>
        <v>0.2</v>
      </c>
    </row>
    <row r="7" s="212" customFormat="1" spans="1:29">
      <c r="A7" s="207">
        <v>6</v>
      </c>
      <c r="B7" s="207" t="s">
        <v>86</v>
      </c>
      <c r="C7" s="207" t="s">
        <v>68</v>
      </c>
      <c r="D7" s="207">
        <v>3</v>
      </c>
      <c r="E7" s="207">
        <v>0</v>
      </c>
      <c r="F7" s="223" t="s">
        <v>87</v>
      </c>
      <c r="G7" s="207" t="s">
        <v>77</v>
      </c>
      <c r="H7" s="224" t="s">
        <v>88</v>
      </c>
      <c r="I7" s="207" t="s">
        <v>89</v>
      </c>
      <c r="J7" s="207" t="s">
        <v>90</v>
      </c>
      <c r="K7" s="207"/>
      <c r="L7" s="224"/>
      <c r="M7" s="207">
        <v>3</v>
      </c>
      <c r="N7" s="207">
        <v>0</v>
      </c>
      <c r="O7" s="207"/>
      <c r="P7" s="207"/>
      <c r="Q7" s="207">
        <v>0</v>
      </c>
      <c r="R7" s="207">
        <v>2</v>
      </c>
      <c r="S7" s="207"/>
      <c r="T7" s="51">
        <v>0</v>
      </c>
      <c r="U7" s="207"/>
      <c r="V7" s="207"/>
      <c r="W7" s="207"/>
      <c r="X7" s="207"/>
      <c r="Y7" s="237"/>
      <c r="Z7" s="237" t="str">
        <f t="shared" si="0"/>
        <v>1.1.3) City reliance on digital infrastructure</v>
      </c>
      <c r="AA7" s="237" t="str">
        <f t="shared" si="3"/>
        <v>#,0</v>
      </c>
      <c r="AB7" s="237">
        <f>INDEX(Weights!$F$7:$F$74,MATCH($B7,Weights!$B$7:$B$74,0))</f>
        <v>0</v>
      </c>
      <c r="AC7" s="237">
        <f t="shared" si="2"/>
        <v>0</v>
      </c>
    </row>
    <row r="8" s="212" customFormat="1" spans="1:29">
      <c r="A8" s="207">
        <v>7</v>
      </c>
      <c r="B8" s="207" t="s">
        <v>91</v>
      </c>
      <c r="C8" s="207" t="s">
        <v>68</v>
      </c>
      <c r="D8" s="207">
        <v>3</v>
      </c>
      <c r="E8" s="207">
        <v>0</v>
      </c>
      <c r="F8" s="223" t="s">
        <v>92</v>
      </c>
      <c r="G8" s="207" t="s">
        <v>77</v>
      </c>
      <c r="H8" s="224" t="s">
        <v>93</v>
      </c>
      <c r="I8" s="207" t="s">
        <v>94</v>
      </c>
      <c r="J8" s="207" t="s">
        <v>90</v>
      </c>
      <c r="K8" s="207"/>
      <c r="L8" s="224"/>
      <c r="M8" s="207">
        <v>3</v>
      </c>
      <c r="N8" s="207">
        <v>0</v>
      </c>
      <c r="O8" s="207"/>
      <c r="P8" s="207"/>
      <c r="Q8" s="207">
        <v>0</v>
      </c>
      <c r="R8" s="207">
        <v>2</v>
      </c>
      <c r="S8" s="207"/>
      <c r="T8" s="51">
        <v>0</v>
      </c>
      <c r="U8" s="207"/>
      <c r="V8" s="207"/>
      <c r="W8" s="207"/>
      <c r="X8" s="207"/>
      <c r="Y8" s="237"/>
      <c r="Z8" s="237" t="str">
        <f t="shared" si="0"/>
        <v>1.1.4) Public-private partnerships</v>
      </c>
      <c r="AA8" s="237" t="str">
        <f t="shared" si="3"/>
        <v>#,0</v>
      </c>
      <c r="AB8" s="237">
        <f>INDEX(Weights!$F$7:$F$74,MATCH($B8,Weights!$B$7:$B$74,0))</f>
        <v>1</v>
      </c>
      <c r="AC8" s="237">
        <f t="shared" si="2"/>
        <v>0.2</v>
      </c>
    </row>
    <row r="9" s="212" customFormat="1" spans="1:29">
      <c r="A9" s="207">
        <v>8</v>
      </c>
      <c r="B9" s="207" t="s">
        <v>95</v>
      </c>
      <c r="C9" s="207" t="s">
        <v>68</v>
      </c>
      <c r="D9" s="207">
        <v>3</v>
      </c>
      <c r="E9" s="207">
        <v>0</v>
      </c>
      <c r="F9" s="223" t="s">
        <v>96</v>
      </c>
      <c r="G9" s="207" t="s">
        <v>77</v>
      </c>
      <c r="H9" s="224" t="s">
        <v>97</v>
      </c>
      <c r="I9" s="207" t="s">
        <v>98</v>
      </c>
      <c r="J9" s="207" t="s">
        <v>99</v>
      </c>
      <c r="K9" s="207"/>
      <c r="L9" s="224"/>
      <c r="M9" s="207">
        <v>3</v>
      </c>
      <c r="N9" s="207">
        <v>0</v>
      </c>
      <c r="O9" s="207"/>
      <c r="P9" s="207"/>
      <c r="Q9" s="207">
        <v>0</v>
      </c>
      <c r="R9" s="207">
        <v>100</v>
      </c>
      <c r="S9" s="207"/>
      <c r="T9" s="51">
        <v>0</v>
      </c>
      <c r="U9" s="207"/>
      <c r="V9" s="207"/>
      <c r="W9" s="207"/>
      <c r="X9" s="207"/>
      <c r="Y9" s="237"/>
      <c r="Z9" s="237" t="str">
        <f t="shared" si="0"/>
        <v>1.1.5) Level of technology employed</v>
      </c>
      <c r="AA9" s="237" t="str">
        <f t="shared" si="3"/>
        <v>#,0</v>
      </c>
      <c r="AB9" s="237">
        <f>INDEX(Weights!$F$7:$F$74,MATCH($B9,Weights!$B$7:$B$74,0))</f>
        <v>1</v>
      </c>
      <c r="AC9" s="237">
        <f t="shared" si="2"/>
        <v>0.2</v>
      </c>
    </row>
    <row r="10" s="212" customFormat="1" spans="1:29">
      <c r="A10" s="207">
        <v>9</v>
      </c>
      <c r="B10" s="207" t="s">
        <v>100</v>
      </c>
      <c r="C10" s="207" t="s">
        <v>68</v>
      </c>
      <c r="D10" s="207">
        <v>3</v>
      </c>
      <c r="E10" s="207">
        <v>0</v>
      </c>
      <c r="F10" s="223" t="s">
        <v>101</v>
      </c>
      <c r="G10" s="207" t="s">
        <v>77</v>
      </c>
      <c r="H10" s="224" t="s">
        <v>102</v>
      </c>
      <c r="I10" s="207" t="s">
        <v>103</v>
      </c>
      <c r="J10" s="207" t="s">
        <v>90</v>
      </c>
      <c r="K10" s="207"/>
      <c r="L10" s="224"/>
      <c r="M10" s="207">
        <v>3</v>
      </c>
      <c r="N10" s="207">
        <v>0</v>
      </c>
      <c r="O10" s="207"/>
      <c r="P10" s="207"/>
      <c r="Q10" s="207">
        <v>0</v>
      </c>
      <c r="R10" s="207">
        <v>2</v>
      </c>
      <c r="S10" s="207"/>
      <c r="T10" s="51">
        <v>0</v>
      </c>
      <c r="U10" s="207"/>
      <c r="V10" s="207"/>
      <c r="W10" s="207"/>
      <c r="X10" s="207"/>
      <c r="Y10" s="237"/>
      <c r="Z10" s="237" t="str">
        <f t="shared" si="0"/>
        <v>1.1.6) Dedicated cyber security teams</v>
      </c>
      <c r="AA10" s="237" t="str">
        <f t="shared" si="3"/>
        <v>#,0</v>
      </c>
      <c r="AB10" s="237">
        <f>INDEX(Weights!$F$7:$F$74,MATCH($B10,Weights!$B$7:$B$74,0))</f>
        <v>1</v>
      </c>
      <c r="AC10" s="237">
        <f t="shared" si="2"/>
        <v>0.2</v>
      </c>
    </row>
    <row r="11" s="204" customFormat="1" ht="17.25" customHeight="1" spans="1:29">
      <c r="A11" s="205">
        <v>10</v>
      </c>
      <c r="B11" s="205" t="s">
        <v>104</v>
      </c>
      <c r="C11" s="205" t="s">
        <v>64</v>
      </c>
      <c r="D11" s="205">
        <v>2</v>
      </c>
      <c r="E11" s="205">
        <v>0</v>
      </c>
      <c r="F11" s="222" t="s">
        <v>105</v>
      </c>
      <c r="G11" s="205" t="s">
        <v>106</v>
      </c>
      <c r="H11" s="205" t="s">
        <v>107</v>
      </c>
      <c r="I11" s="227" t="s">
        <v>108</v>
      </c>
      <c r="J11" s="227" t="s">
        <v>73</v>
      </c>
      <c r="K11" s="205"/>
      <c r="L11" s="205"/>
      <c r="M11" s="205">
        <v>1</v>
      </c>
      <c r="N11" s="205">
        <v>0</v>
      </c>
      <c r="O11" s="205"/>
      <c r="P11" s="205"/>
      <c r="Q11" s="205"/>
      <c r="R11" s="205"/>
      <c r="S11" s="205"/>
      <c r="T11" s="51">
        <v>1</v>
      </c>
      <c r="U11" s="205"/>
      <c r="V11" s="205"/>
      <c r="W11" s="205"/>
      <c r="X11" s="205"/>
      <c r="Y11" s="236"/>
      <c r="Z11" s="236" t="str">
        <f t="shared" si="0"/>
        <v>1.2) Digital Security (Outputs)</v>
      </c>
      <c r="AA11" s="236" t="str">
        <f t="shared" si="1"/>
        <v>#,0.0</v>
      </c>
      <c r="AB11" s="236">
        <f>INDEX(Weights!$F$7:$F$74,MATCH($B11,Weights!$B$7:$B$74,0))</f>
        <v>1</v>
      </c>
      <c r="AC11" s="236">
        <f t="shared" si="2"/>
        <v>0.5</v>
      </c>
    </row>
    <row r="12" s="207" customFormat="1" spans="1:29">
      <c r="A12" s="207">
        <v>11</v>
      </c>
      <c r="B12" s="207" t="s">
        <v>109</v>
      </c>
      <c r="C12" s="207" t="s">
        <v>104</v>
      </c>
      <c r="D12" s="207">
        <v>3</v>
      </c>
      <c r="E12" s="207">
        <v>0</v>
      </c>
      <c r="F12" s="223" t="s">
        <v>110</v>
      </c>
      <c r="G12" s="207" t="s">
        <v>77</v>
      </c>
      <c r="H12" s="224" t="s">
        <v>111</v>
      </c>
      <c r="I12" s="28" t="s">
        <v>112</v>
      </c>
      <c r="J12" s="28" t="s">
        <v>113</v>
      </c>
      <c r="L12" s="224"/>
      <c r="M12" s="207">
        <v>2</v>
      </c>
      <c r="N12" s="207">
        <v>1</v>
      </c>
      <c r="T12" s="51">
        <v>0</v>
      </c>
      <c r="Y12" s="237"/>
      <c r="Z12" s="237" t="str">
        <f t="shared" si="0"/>
        <v>1.2.1) Frequency of identity theft</v>
      </c>
      <c r="AA12" s="237" t="str">
        <f t="shared" si="1"/>
        <v>#,0</v>
      </c>
      <c r="AB12" s="237">
        <f>INDEX(Weights!$F$7:$F$74,MATCH($B12,Weights!$B$7:$B$74,0))</f>
        <v>1</v>
      </c>
      <c r="AC12" s="237">
        <f t="shared" si="2"/>
        <v>0.333333333333333</v>
      </c>
    </row>
    <row r="13" s="207" customFormat="1" spans="1:29">
      <c r="A13" s="207">
        <v>12</v>
      </c>
      <c r="B13" s="207" t="s">
        <v>114</v>
      </c>
      <c r="C13" s="207" t="s">
        <v>104</v>
      </c>
      <c r="D13" s="207">
        <v>3</v>
      </c>
      <c r="E13" s="207">
        <v>0</v>
      </c>
      <c r="F13" s="223" t="s">
        <v>115</v>
      </c>
      <c r="G13" s="207" t="s">
        <v>77</v>
      </c>
      <c r="H13" s="33" t="s">
        <v>116</v>
      </c>
      <c r="I13" s="28" t="s">
        <v>117</v>
      </c>
      <c r="J13" s="28" t="s">
        <v>117</v>
      </c>
      <c r="L13" s="224"/>
      <c r="M13" s="207">
        <v>3</v>
      </c>
      <c r="N13" s="207">
        <v>1</v>
      </c>
      <c r="Q13" s="207">
        <v>1</v>
      </c>
      <c r="R13" s="207">
        <v>5</v>
      </c>
      <c r="T13" s="51">
        <v>1</v>
      </c>
      <c r="Y13" s="237"/>
      <c r="Z13" s="237" t="str">
        <f t="shared" si="0"/>
        <v>1.2.2) Precentage of computers infected</v>
      </c>
      <c r="AA13" s="237" t="str">
        <f t="shared" si="1"/>
        <v>#,0.0</v>
      </c>
      <c r="AB13" s="237">
        <f>INDEX(Weights!$F$7:$F$74,MATCH($B13,Weights!$B$7:$B$74,0))</f>
        <v>1</v>
      </c>
      <c r="AC13" s="237">
        <f t="shared" si="2"/>
        <v>0.333333333333333</v>
      </c>
    </row>
    <row r="14" s="207" customFormat="1" spans="1:29">
      <c r="A14" s="207">
        <v>13</v>
      </c>
      <c r="B14" s="207" t="s">
        <v>118</v>
      </c>
      <c r="C14" s="207" t="s">
        <v>104</v>
      </c>
      <c r="D14" s="207">
        <v>3</v>
      </c>
      <c r="E14" s="207">
        <v>0</v>
      </c>
      <c r="F14" s="223" t="s">
        <v>119</v>
      </c>
      <c r="G14" s="207" t="s">
        <v>77</v>
      </c>
      <c r="H14" s="224" t="s">
        <v>120</v>
      </c>
      <c r="I14" s="207" t="s">
        <v>121</v>
      </c>
      <c r="J14" s="207" t="s">
        <v>113</v>
      </c>
      <c r="L14" s="224"/>
      <c r="M14" s="207">
        <v>2</v>
      </c>
      <c r="N14" s="207">
        <v>0</v>
      </c>
      <c r="T14" s="51">
        <v>1</v>
      </c>
      <c r="Y14" s="237"/>
      <c r="Z14" s="237" t="str">
        <f t="shared" si="0"/>
        <v>1.2.3) Percent with internet access</v>
      </c>
      <c r="AA14" s="237" t="str">
        <f t="shared" si="1"/>
        <v>#,0.0</v>
      </c>
      <c r="AB14" s="237">
        <f>INDEX(Weights!$F$7:$F$74,MATCH($B14,Weights!$B$7:$B$74,0))</f>
        <v>1</v>
      </c>
      <c r="AC14" s="237">
        <f t="shared" si="2"/>
        <v>0.333333333333333</v>
      </c>
    </row>
    <row r="15" s="211" customFormat="1" ht="17.25" customHeight="1" spans="1:29">
      <c r="A15" s="209">
        <v>14</v>
      </c>
      <c r="B15" s="209" t="s">
        <v>122</v>
      </c>
      <c r="C15" s="209" t="s">
        <v>61</v>
      </c>
      <c r="D15" s="209">
        <v>1</v>
      </c>
      <c r="E15" s="209">
        <v>0</v>
      </c>
      <c r="F15" s="221" t="s">
        <v>123</v>
      </c>
      <c r="G15" s="209" t="s">
        <v>65</v>
      </c>
      <c r="H15" s="209" t="str">
        <f>IF(uxbWorks!$B$9,"RATIO of OUTPUT/INPUT (HEALTH SECURITY)","HEALTH SECURITY")</f>
        <v>HEALTH SECURITY</v>
      </c>
      <c r="I15" s="225" t="s">
        <v>124</v>
      </c>
      <c r="J15" s="226" t="s">
        <v>125</v>
      </c>
      <c r="K15" s="209"/>
      <c r="L15" s="209"/>
      <c r="M15" s="209">
        <v>1</v>
      </c>
      <c r="N15" s="209">
        <v>0</v>
      </c>
      <c r="O15" s="209"/>
      <c r="P15" s="209"/>
      <c r="Q15" s="209"/>
      <c r="R15" s="209"/>
      <c r="S15" s="209"/>
      <c r="T15" s="51">
        <v>1</v>
      </c>
      <c r="U15" s="209"/>
      <c r="V15" s="209"/>
      <c r="W15" s="209"/>
      <c r="X15" s="209"/>
      <c r="Y15" s="234"/>
      <c r="Z15" s="235" t="str">
        <f t="shared" si="0"/>
        <v>2) HEALTH SECURITY</v>
      </c>
      <c r="AA15" s="235" t="str">
        <f t="shared" ref="AA15:AA47" si="4">IF(T15="","0.0",CHOOSE(T15+1,"#,0","#,0.0","#,0.00","#,0.000"))</f>
        <v>#,0.0</v>
      </c>
      <c r="AB15" s="235">
        <f>INDEX(Weights!$F$7:$F$74,MATCH($B15,Weights!$B$7:$B$74,0))</f>
        <v>1</v>
      </c>
      <c r="AC15" s="235">
        <f t="shared" si="2"/>
        <v>0.25</v>
      </c>
    </row>
    <row r="16" s="204" customFormat="1" ht="17.25" customHeight="1" spans="1:29">
      <c r="A16" s="205">
        <v>15</v>
      </c>
      <c r="B16" s="205" t="s">
        <v>126</v>
      </c>
      <c r="C16" s="205" t="s">
        <v>122</v>
      </c>
      <c r="D16" s="205">
        <v>2</v>
      </c>
      <c r="E16" s="205">
        <v>0</v>
      </c>
      <c r="F16" s="222" t="s">
        <v>127</v>
      </c>
      <c r="G16" s="205" t="s">
        <v>106</v>
      </c>
      <c r="H16" s="205" t="s">
        <v>128</v>
      </c>
      <c r="I16" s="227" t="s">
        <v>129</v>
      </c>
      <c r="J16" s="227" t="s">
        <v>73</v>
      </c>
      <c r="K16" s="205"/>
      <c r="L16" s="205"/>
      <c r="M16" s="205">
        <v>1</v>
      </c>
      <c r="N16" s="205">
        <v>0</v>
      </c>
      <c r="O16" s="205"/>
      <c r="P16" s="205"/>
      <c r="Q16" s="205"/>
      <c r="R16" s="205"/>
      <c r="S16" s="205"/>
      <c r="T16" s="51">
        <v>1</v>
      </c>
      <c r="U16" s="205"/>
      <c r="V16" s="205"/>
      <c r="W16" s="205"/>
      <c r="X16" s="205"/>
      <c r="Y16" s="236"/>
      <c r="Z16" s="236" t="str">
        <f t="shared" si="0"/>
        <v>2.1) Health Security (Inputs)</v>
      </c>
      <c r="AA16" s="236" t="str">
        <f t="shared" si="4"/>
        <v>#,0.0</v>
      </c>
      <c r="AB16" s="236">
        <f>INDEX(Weights!$F$7:$F$74,MATCH($B16,Weights!$B$7:$B$74,0))</f>
        <v>1</v>
      </c>
      <c r="AC16" s="236">
        <f t="shared" si="2"/>
        <v>0.5</v>
      </c>
    </row>
    <row r="17" s="207" customFormat="1" spans="1:29">
      <c r="A17" s="207">
        <v>16</v>
      </c>
      <c r="B17" s="207" t="s">
        <v>130</v>
      </c>
      <c r="C17" s="207" t="s">
        <v>126</v>
      </c>
      <c r="D17" s="207">
        <v>3</v>
      </c>
      <c r="E17" s="207">
        <v>0</v>
      </c>
      <c r="F17" s="223" t="s">
        <v>131</v>
      </c>
      <c r="G17" s="207" t="s">
        <v>77</v>
      </c>
      <c r="H17" s="224" t="s">
        <v>132</v>
      </c>
      <c r="I17" s="207" t="s">
        <v>133</v>
      </c>
      <c r="J17" s="207" t="s">
        <v>99</v>
      </c>
      <c r="L17" s="224"/>
      <c r="M17" s="207">
        <v>2</v>
      </c>
      <c r="N17" s="207">
        <v>0</v>
      </c>
      <c r="T17" s="51">
        <v>0</v>
      </c>
      <c r="Y17" s="237"/>
      <c r="Z17" s="237" t="str">
        <f t="shared" si="0"/>
        <v>2.1.1) Environmental policies</v>
      </c>
      <c r="AA17" s="237" t="str">
        <f t="shared" si="4"/>
        <v>#,0</v>
      </c>
      <c r="AB17" s="237">
        <f>INDEX(Weights!$F$7:$F$74,MATCH($B17,Weights!$B$7:$B$74,0))</f>
        <v>1</v>
      </c>
      <c r="AC17" s="237">
        <f t="shared" si="2"/>
        <v>0.166666666666667</v>
      </c>
    </row>
    <row r="18" s="207" customFormat="1" spans="1:29">
      <c r="A18" s="207">
        <v>17</v>
      </c>
      <c r="B18" s="207" t="s">
        <v>134</v>
      </c>
      <c r="C18" s="207" t="s">
        <v>126</v>
      </c>
      <c r="D18" s="207">
        <v>3</v>
      </c>
      <c r="E18" s="207">
        <v>0</v>
      </c>
      <c r="F18" s="223" t="s">
        <v>135</v>
      </c>
      <c r="G18" s="207" t="s">
        <v>77</v>
      </c>
      <c r="H18" s="224" t="s">
        <v>136</v>
      </c>
      <c r="I18" s="207" t="s">
        <v>137</v>
      </c>
      <c r="J18" s="207" t="s">
        <v>99</v>
      </c>
      <c r="L18" s="224"/>
      <c r="M18" s="207">
        <v>2</v>
      </c>
      <c r="N18" s="207">
        <v>0</v>
      </c>
      <c r="T18" s="51">
        <v>0</v>
      </c>
      <c r="Y18" s="237"/>
      <c r="Z18" s="237" t="str">
        <f t="shared" si="0"/>
        <v>2.1.2) Access to healthcare</v>
      </c>
      <c r="AA18" s="237" t="str">
        <f t="shared" si="4"/>
        <v>#,0</v>
      </c>
      <c r="AB18" s="237">
        <f>INDEX(Weights!$F$7:$F$74,MATCH($B18,Weights!$B$7:$B$74,0))</f>
        <v>1</v>
      </c>
      <c r="AC18" s="237">
        <f t="shared" si="2"/>
        <v>0.166666666666667</v>
      </c>
    </row>
    <row r="19" s="207" customFormat="1" spans="1:29">
      <c r="A19" s="207">
        <v>18</v>
      </c>
      <c r="B19" s="207" t="s">
        <v>138</v>
      </c>
      <c r="C19" s="207" t="s">
        <v>126</v>
      </c>
      <c r="D19" s="207">
        <v>3</v>
      </c>
      <c r="E19" s="207">
        <v>0</v>
      </c>
      <c r="F19" s="223" t="s">
        <v>139</v>
      </c>
      <c r="G19" s="207" t="s">
        <v>77</v>
      </c>
      <c r="H19" s="224" t="s">
        <v>140</v>
      </c>
      <c r="I19" s="207" t="s">
        <v>141</v>
      </c>
      <c r="J19" s="207" t="s">
        <v>142</v>
      </c>
      <c r="L19" s="224"/>
      <c r="M19" s="207">
        <v>2</v>
      </c>
      <c r="N19" s="207">
        <v>0</v>
      </c>
      <c r="T19" s="51">
        <v>0</v>
      </c>
      <c r="Y19" s="237"/>
      <c r="Z19" s="237" t="str">
        <f t="shared" si="0"/>
        <v>2.1.3) No. of beds per 1000</v>
      </c>
      <c r="AA19" s="237" t="str">
        <f t="shared" si="4"/>
        <v>#,0</v>
      </c>
      <c r="AB19" s="237">
        <f>INDEX(Weights!$F$7:$F$74,MATCH($B19,Weights!$B$7:$B$74,0))</f>
        <v>1</v>
      </c>
      <c r="AC19" s="237">
        <f t="shared" si="2"/>
        <v>0.166666666666667</v>
      </c>
    </row>
    <row r="20" s="207" customFormat="1" spans="1:29">
      <c r="A20" s="207">
        <v>19</v>
      </c>
      <c r="B20" s="207" t="s">
        <v>143</v>
      </c>
      <c r="C20" s="207" t="s">
        <v>126</v>
      </c>
      <c r="D20" s="207">
        <v>3</v>
      </c>
      <c r="E20" s="207">
        <v>0</v>
      </c>
      <c r="F20" s="223" t="s">
        <v>144</v>
      </c>
      <c r="G20" s="207" t="s">
        <v>77</v>
      </c>
      <c r="H20" s="224" t="s">
        <v>145</v>
      </c>
      <c r="I20" s="207" t="s">
        <v>141</v>
      </c>
      <c r="J20" s="207" t="s">
        <v>142</v>
      </c>
      <c r="L20" s="224"/>
      <c r="M20" s="207">
        <v>2</v>
      </c>
      <c r="N20" s="207">
        <v>0</v>
      </c>
      <c r="T20" s="51">
        <v>0</v>
      </c>
      <c r="Y20" s="237"/>
      <c r="Z20" s="237" t="str">
        <f t="shared" si="0"/>
        <v>2.1.4) Number of doctors per 1000</v>
      </c>
      <c r="AA20" s="237" t="str">
        <f t="shared" si="4"/>
        <v>#,0</v>
      </c>
      <c r="AB20" s="237">
        <f>INDEX(Weights!$F$7:$F$74,MATCH($B20,Weights!$B$7:$B$74,0))</f>
        <v>1</v>
      </c>
      <c r="AC20" s="237">
        <f t="shared" si="2"/>
        <v>0.166666666666667</v>
      </c>
    </row>
    <row r="21" s="207" customFormat="1" spans="1:29">
      <c r="A21" s="207">
        <v>20</v>
      </c>
      <c r="B21" s="207" t="s">
        <v>146</v>
      </c>
      <c r="C21" s="207" t="s">
        <v>126</v>
      </c>
      <c r="D21" s="207">
        <v>3</v>
      </c>
      <c r="E21" s="207">
        <v>0</v>
      </c>
      <c r="F21" s="223" t="s">
        <v>147</v>
      </c>
      <c r="G21" s="207" t="s">
        <v>77</v>
      </c>
      <c r="H21" s="224" t="s">
        <v>148</v>
      </c>
      <c r="I21" s="207" t="s">
        <v>149</v>
      </c>
      <c r="J21" s="207" t="s">
        <v>149</v>
      </c>
      <c r="L21" s="224"/>
      <c r="M21" s="207">
        <v>3</v>
      </c>
      <c r="N21" s="207">
        <v>0</v>
      </c>
      <c r="Q21" s="207">
        <v>1</v>
      </c>
      <c r="R21" s="207">
        <v>100</v>
      </c>
      <c r="T21" s="51">
        <v>0</v>
      </c>
      <c r="Y21" s="237"/>
      <c r="Z21" s="237" t="str">
        <f t="shared" si="0"/>
        <v>2.1.5) Access to safe and quality food</v>
      </c>
      <c r="AA21" s="237" t="str">
        <f t="shared" si="4"/>
        <v>#,0</v>
      </c>
      <c r="AB21" s="237">
        <f>INDEX(Weights!$F$7:$F$74,MATCH($B21,Weights!$B$7:$B$74,0))</f>
        <v>1</v>
      </c>
      <c r="AC21" s="237">
        <f t="shared" si="2"/>
        <v>0.166666666666667</v>
      </c>
    </row>
    <row r="22" s="207" customFormat="1" spans="1:29">
      <c r="A22" s="207">
        <v>21</v>
      </c>
      <c r="B22" s="207" t="s">
        <v>150</v>
      </c>
      <c r="C22" s="207" t="s">
        <v>126</v>
      </c>
      <c r="D22" s="207">
        <v>3</v>
      </c>
      <c r="E22" s="207">
        <v>0</v>
      </c>
      <c r="F22" s="223" t="s">
        <v>151</v>
      </c>
      <c r="G22" s="207" t="s">
        <v>77</v>
      </c>
      <c r="H22" s="224" t="s">
        <v>152</v>
      </c>
      <c r="I22" s="207" t="s">
        <v>153</v>
      </c>
      <c r="J22" s="207" t="s">
        <v>153</v>
      </c>
      <c r="L22" s="224"/>
      <c r="M22" s="207">
        <v>3</v>
      </c>
      <c r="N22" s="207">
        <v>1</v>
      </c>
      <c r="Q22" s="207">
        <v>1</v>
      </c>
      <c r="R22" s="207">
        <v>5</v>
      </c>
      <c r="T22" s="51">
        <v>0</v>
      </c>
      <c r="Y22" s="237"/>
      <c r="Z22" s="237" t="str">
        <f t="shared" si="0"/>
        <v>2.1.6) Quality of health services</v>
      </c>
      <c r="AA22" s="237" t="str">
        <f t="shared" si="4"/>
        <v>#,0</v>
      </c>
      <c r="AB22" s="237">
        <f>INDEX(Weights!$F$7:$F$74,MATCH($B22,Weights!$B$7:$B$74,0))</f>
        <v>1</v>
      </c>
      <c r="AC22" s="237">
        <f t="shared" si="2"/>
        <v>0.166666666666667</v>
      </c>
    </row>
    <row r="23" s="204" customFormat="1" ht="17.25" customHeight="1" spans="1:29">
      <c r="A23" s="205">
        <v>22</v>
      </c>
      <c r="B23" s="205" t="s">
        <v>154</v>
      </c>
      <c r="C23" s="205" t="s">
        <v>122</v>
      </c>
      <c r="D23" s="205">
        <v>2</v>
      </c>
      <c r="E23" s="205">
        <v>0</v>
      </c>
      <c r="F23" s="222" t="s">
        <v>155</v>
      </c>
      <c r="G23" s="205" t="s">
        <v>106</v>
      </c>
      <c r="H23" s="205" t="s">
        <v>156</v>
      </c>
      <c r="I23" s="227" t="s">
        <v>157</v>
      </c>
      <c r="J23" s="227" t="s">
        <v>73</v>
      </c>
      <c r="K23" s="205"/>
      <c r="L23" s="205"/>
      <c r="M23" s="205">
        <v>1</v>
      </c>
      <c r="N23" s="205">
        <v>0</v>
      </c>
      <c r="O23" s="205"/>
      <c r="P23" s="205"/>
      <c r="Q23" s="205"/>
      <c r="R23" s="205"/>
      <c r="S23" s="205"/>
      <c r="T23" s="51">
        <v>1</v>
      </c>
      <c r="U23" s="205"/>
      <c r="V23" s="205"/>
      <c r="W23" s="205"/>
      <c r="X23" s="205"/>
      <c r="Y23" s="236"/>
      <c r="Z23" s="236" t="str">
        <f t="shared" si="0"/>
        <v>2.2) Health Security (Outputs)</v>
      </c>
      <c r="AA23" s="236" t="str">
        <f t="shared" si="4"/>
        <v>#,0.0</v>
      </c>
      <c r="AB23" s="236">
        <f>INDEX(Weights!$F$7:$F$74,MATCH($B23,Weights!$B$7:$B$74,0))</f>
        <v>1</v>
      </c>
      <c r="AC23" s="236">
        <f t="shared" si="2"/>
        <v>0.5</v>
      </c>
    </row>
    <row r="24" s="207" customFormat="1" spans="1:29">
      <c r="A24" s="207">
        <v>23</v>
      </c>
      <c r="B24" s="207" t="s">
        <v>158</v>
      </c>
      <c r="C24" s="207" t="s">
        <v>154</v>
      </c>
      <c r="D24" s="207">
        <v>3</v>
      </c>
      <c r="E24" s="207">
        <v>0</v>
      </c>
      <c r="F24" s="223" t="s">
        <v>159</v>
      </c>
      <c r="G24" s="207" t="s">
        <v>77</v>
      </c>
      <c r="H24" s="224" t="s">
        <v>160</v>
      </c>
      <c r="I24" s="207" t="s">
        <v>149</v>
      </c>
      <c r="J24" s="207" t="s">
        <v>161</v>
      </c>
      <c r="L24" s="224"/>
      <c r="M24" s="207">
        <v>3</v>
      </c>
      <c r="N24" s="207">
        <v>1</v>
      </c>
      <c r="Q24" s="207">
        <v>1</v>
      </c>
      <c r="R24" s="207">
        <v>100</v>
      </c>
      <c r="T24" s="51">
        <v>1</v>
      </c>
      <c r="Y24" s="237"/>
      <c r="Z24" s="237" t="str">
        <f t="shared" si="0"/>
        <v>2.2.1) Air quality</v>
      </c>
      <c r="AA24" s="237" t="str">
        <f t="shared" si="4"/>
        <v>#,0.0</v>
      </c>
      <c r="AB24" s="237">
        <f>INDEX(Weights!$F$7:$F$74,MATCH($B24,Weights!$B$7:$B$74,0))</f>
        <v>1</v>
      </c>
      <c r="AC24" s="237">
        <f t="shared" si="2"/>
        <v>0.2</v>
      </c>
    </row>
    <row r="25" s="207" customFormat="1" spans="1:29">
      <c r="A25" s="207">
        <v>24</v>
      </c>
      <c r="B25" s="207" t="s">
        <v>162</v>
      </c>
      <c r="C25" s="207" t="s">
        <v>154</v>
      </c>
      <c r="D25" s="207">
        <v>3</v>
      </c>
      <c r="E25" s="207">
        <v>0</v>
      </c>
      <c r="F25" s="223" t="s">
        <v>163</v>
      </c>
      <c r="G25" s="207" t="s">
        <v>77</v>
      </c>
      <c r="H25" s="224" t="s">
        <v>164</v>
      </c>
      <c r="I25" s="207" t="s">
        <v>149</v>
      </c>
      <c r="J25" s="207" t="s">
        <v>149</v>
      </c>
      <c r="L25" s="224"/>
      <c r="M25" s="207">
        <v>3</v>
      </c>
      <c r="N25" s="207">
        <v>0</v>
      </c>
      <c r="Q25" s="207">
        <v>1</v>
      </c>
      <c r="R25" s="207">
        <v>100</v>
      </c>
      <c r="T25" s="51">
        <v>1</v>
      </c>
      <c r="Y25" s="237"/>
      <c r="Z25" s="237" t="str">
        <f t="shared" si="0"/>
        <v>2.2.2) Water quality</v>
      </c>
      <c r="AA25" s="237" t="str">
        <f t="shared" si="4"/>
        <v>#,0.0</v>
      </c>
      <c r="AB25" s="237">
        <f>INDEX(Weights!$F$7:$F$74,MATCH($B25,Weights!$B$7:$B$74,0))</f>
        <v>1</v>
      </c>
      <c r="AC25" s="237">
        <f t="shared" si="2"/>
        <v>0.2</v>
      </c>
    </row>
    <row r="26" s="207" customFormat="1" spans="1:29">
      <c r="A26" s="207">
        <v>25</v>
      </c>
      <c r="B26" s="207" t="s">
        <v>165</v>
      </c>
      <c r="C26" s="207" t="s">
        <v>154</v>
      </c>
      <c r="D26" s="207">
        <v>3</v>
      </c>
      <c r="E26" s="207">
        <v>0</v>
      </c>
      <c r="F26" s="223" t="s">
        <v>166</v>
      </c>
      <c r="G26" s="207" t="s">
        <v>77</v>
      </c>
      <c r="H26" s="224" t="s">
        <v>167</v>
      </c>
      <c r="I26" s="207" t="s">
        <v>168</v>
      </c>
      <c r="J26" s="28" t="s">
        <v>169</v>
      </c>
      <c r="L26" s="224"/>
      <c r="M26" s="207">
        <v>2</v>
      </c>
      <c r="N26" s="207">
        <v>0</v>
      </c>
      <c r="T26" s="51">
        <v>0</v>
      </c>
      <c r="Y26" s="237"/>
      <c r="Z26" s="237" t="str">
        <f t="shared" si="0"/>
        <v>2.2.3) Life expectancy</v>
      </c>
      <c r="AA26" s="237" t="str">
        <f t="shared" si="4"/>
        <v>#,0</v>
      </c>
      <c r="AB26" s="237">
        <f>INDEX(Weights!$F$7:$F$74,MATCH($B26,Weights!$B$7:$B$74,0))</f>
        <v>1</v>
      </c>
      <c r="AC26" s="237">
        <f t="shared" si="2"/>
        <v>0.2</v>
      </c>
    </row>
    <row r="27" s="207" customFormat="1" spans="1:29">
      <c r="A27" s="207">
        <v>26</v>
      </c>
      <c r="B27" s="207" t="s">
        <v>170</v>
      </c>
      <c r="C27" s="207" t="s">
        <v>154</v>
      </c>
      <c r="D27" s="207">
        <v>3</v>
      </c>
      <c r="E27" s="207">
        <v>0</v>
      </c>
      <c r="F27" s="223" t="s">
        <v>171</v>
      </c>
      <c r="G27" s="207" t="s">
        <v>77</v>
      </c>
      <c r="H27" s="224" t="s">
        <v>172</v>
      </c>
      <c r="I27" s="207" t="s">
        <v>142</v>
      </c>
      <c r="J27" s="28" t="s">
        <v>173</v>
      </c>
      <c r="L27" s="224"/>
      <c r="M27" s="207">
        <v>2</v>
      </c>
      <c r="N27" s="207">
        <v>1</v>
      </c>
      <c r="T27" s="51">
        <v>0</v>
      </c>
      <c r="Y27" s="237"/>
      <c r="Z27" s="237" t="str">
        <f t="shared" si="0"/>
        <v>2.2.4) Infant mortality (deaths per 1,000 live births)</v>
      </c>
      <c r="AA27" s="237" t="str">
        <f t="shared" si="4"/>
        <v>#,0</v>
      </c>
      <c r="AB27" s="237">
        <f>INDEX(Weights!$F$7:$F$74,MATCH($B27,Weights!$B$7:$B$74,0))</f>
        <v>1</v>
      </c>
      <c r="AC27" s="237">
        <f t="shared" si="2"/>
        <v>0.2</v>
      </c>
    </row>
    <row r="28" s="207" customFormat="1" spans="1:29">
      <c r="A28" s="207">
        <v>27</v>
      </c>
      <c r="B28" s="207" t="s">
        <v>174</v>
      </c>
      <c r="C28" s="207" t="s">
        <v>154</v>
      </c>
      <c r="D28" s="207">
        <v>3</v>
      </c>
      <c r="E28" s="207">
        <v>0</v>
      </c>
      <c r="F28" s="223" t="s">
        <v>175</v>
      </c>
      <c r="G28" s="207" t="s">
        <v>77</v>
      </c>
      <c r="H28" s="224" t="s">
        <v>176</v>
      </c>
      <c r="I28" s="207" t="s">
        <v>177</v>
      </c>
      <c r="J28" s="28" t="s">
        <v>178</v>
      </c>
      <c r="L28" s="224"/>
      <c r="M28" s="207">
        <v>2</v>
      </c>
      <c r="N28" s="207">
        <v>1</v>
      </c>
      <c r="T28" s="51">
        <v>0</v>
      </c>
      <c r="Y28" s="237"/>
      <c r="Z28" s="237" t="str">
        <f t="shared" si="0"/>
        <v>2.2.5) Cancer mortality rate ( Cancer deaths per 100,000)</v>
      </c>
      <c r="AA28" s="237" t="str">
        <f t="shared" si="4"/>
        <v>#,0</v>
      </c>
      <c r="AB28" s="237">
        <f>INDEX(Weights!$F$7:$F$74,MATCH($B28,Weights!$B$7:$B$74,0))</f>
        <v>1</v>
      </c>
      <c r="AC28" s="237">
        <f t="shared" si="2"/>
        <v>0.2</v>
      </c>
    </row>
    <row r="29" s="211" customFormat="1" ht="17.25" customHeight="1" spans="1:29">
      <c r="A29" s="209">
        <v>28</v>
      </c>
      <c r="B29" s="209" t="s">
        <v>179</v>
      </c>
      <c r="C29" s="209" t="s">
        <v>61</v>
      </c>
      <c r="D29" s="209">
        <v>1</v>
      </c>
      <c r="E29" s="209">
        <v>0</v>
      </c>
      <c r="F29" s="221" t="s">
        <v>180</v>
      </c>
      <c r="G29" s="209" t="s">
        <v>65</v>
      </c>
      <c r="H29" s="209" t="str">
        <f>IF(uxbWorks!$B$9,"RATIO of OUTPUT/INPUT (INFRASTRUCTURE SAFETY )","INFRASTRUCTURE SAFETY")</f>
        <v>INFRASTRUCTURE SAFETY</v>
      </c>
      <c r="I29" s="225" t="s">
        <v>181</v>
      </c>
      <c r="J29" s="226" t="s">
        <v>67</v>
      </c>
      <c r="K29" s="209"/>
      <c r="L29" s="209"/>
      <c r="M29" s="209">
        <v>1</v>
      </c>
      <c r="N29" s="209">
        <v>0</v>
      </c>
      <c r="O29" s="209"/>
      <c r="P29" s="209"/>
      <c r="Q29" s="209"/>
      <c r="R29" s="209"/>
      <c r="S29" s="209"/>
      <c r="T29" s="51">
        <v>1</v>
      </c>
      <c r="U29" s="209"/>
      <c r="V29" s="209"/>
      <c r="W29" s="209"/>
      <c r="X29" s="209"/>
      <c r="Y29" s="234"/>
      <c r="Z29" s="235" t="str">
        <f t="shared" si="0"/>
        <v>3) INFRASTRUCTURE SAFETY</v>
      </c>
      <c r="AA29" s="235" t="str">
        <f t="shared" si="4"/>
        <v>#,0.0</v>
      </c>
      <c r="AB29" s="235">
        <f>INDEX(Weights!$F$7:$F$74,MATCH($B29,Weights!$B$7:$B$74,0))</f>
        <v>1</v>
      </c>
      <c r="AC29" s="235">
        <f t="shared" si="2"/>
        <v>0.25</v>
      </c>
    </row>
    <row r="30" s="204" customFormat="1" ht="17.25" customHeight="1" spans="1:29">
      <c r="A30" s="205">
        <v>29</v>
      </c>
      <c r="B30" s="205" t="s">
        <v>182</v>
      </c>
      <c r="C30" s="205" t="s">
        <v>179</v>
      </c>
      <c r="D30" s="205">
        <v>2</v>
      </c>
      <c r="E30" s="205">
        <v>0</v>
      </c>
      <c r="F30" s="222" t="s">
        <v>183</v>
      </c>
      <c r="G30" s="205" t="s">
        <v>106</v>
      </c>
      <c r="H30" s="205" t="s">
        <v>184</v>
      </c>
      <c r="I30" s="227" t="s">
        <v>185</v>
      </c>
      <c r="J30" s="227" t="s">
        <v>73</v>
      </c>
      <c r="K30" s="205"/>
      <c r="L30" s="205"/>
      <c r="M30" s="205">
        <v>1</v>
      </c>
      <c r="N30" s="205">
        <v>0</v>
      </c>
      <c r="O30" s="205"/>
      <c r="P30" s="205"/>
      <c r="Q30" s="205"/>
      <c r="R30" s="205"/>
      <c r="S30" s="205"/>
      <c r="T30" s="51">
        <v>1</v>
      </c>
      <c r="U30" s="205"/>
      <c r="V30" s="205"/>
      <c r="W30" s="205"/>
      <c r="X30" s="205"/>
      <c r="Y30" s="236"/>
      <c r="Z30" s="236" t="str">
        <f t="shared" si="0"/>
        <v>3.1) Infrastructure Safety (Inputs)</v>
      </c>
      <c r="AA30" s="236" t="str">
        <f t="shared" si="4"/>
        <v>#,0.0</v>
      </c>
      <c r="AB30" s="236">
        <f>INDEX(Weights!$F$7:$F$74,MATCH($B30,Weights!$B$7:$B$74,0))</f>
        <v>1</v>
      </c>
      <c r="AC30" s="236">
        <f t="shared" si="2"/>
        <v>0.5</v>
      </c>
    </row>
    <row r="31" s="207" customFormat="1" spans="1:29">
      <c r="A31" s="207">
        <v>30</v>
      </c>
      <c r="B31" s="207" t="s">
        <v>186</v>
      </c>
      <c r="C31" s="207" t="s">
        <v>182</v>
      </c>
      <c r="D31" s="207">
        <v>3</v>
      </c>
      <c r="E31" s="207">
        <v>0</v>
      </c>
      <c r="F31" s="223" t="s">
        <v>187</v>
      </c>
      <c r="G31" s="207" t="s">
        <v>77</v>
      </c>
      <c r="H31" s="224" t="s">
        <v>188</v>
      </c>
      <c r="I31" s="207" t="s">
        <v>189</v>
      </c>
      <c r="J31" s="207" t="s">
        <v>189</v>
      </c>
      <c r="L31" s="224"/>
      <c r="M31" s="207">
        <v>3</v>
      </c>
      <c r="N31" s="207">
        <v>0</v>
      </c>
      <c r="Q31" s="207">
        <v>0</v>
      </c>
      <c r="R31" s="207">
        <v>10</v>
      </c>
      <c r="T31" s="51">
        <v>0</v>
      </c>
      <c r="Y31" s="237"/>
      <c r="Z31" s="237" t="str">
        <f t="shared" si="0"/>
        <v>3.1.1) Enforcement of transport safety</v>
      </c>
      <c r="AA31" s="237" t="str">
        <f t="shared" si="4"/>
        <v>#,0</v>
      </c>
      <c r="AB31" s="237">
        <f>INDEX(Weights!$F$7:$F$74,MATCH($B31,Weights!$B$7:$B$74,0))</f>
        <v>1</v>
      </c>
      <c r="AC31" s="237">
        <f t="shared" si="2"/>
        <v>0.2</v>
      </c>
    </row>
    <row r="32" s="207" customFormat="1" spans="1:29">
      <c r="A32" s="207">
        <v>31</v>
      </c>
      <c r="B32" s="207" t="s">
        <v>190</v>
      </c>
      <c r="C32" s="207" t="s">
        <v>182</v>
      </c>
      <c r="D32" s="207">
        <v>3</v>
      </c>
      <c r="E32" s="207">
        <v>0</v>
      </c>
      <c r="F32" s="223" t="s">
        <v>191</v>
      </c>
      <c r="G32" s="207" t="s">
        <v>77</v>
      </c>
      <c r="H32" s="224" t="s">
        <v>192</v>
      </c>
      <c r="I32" s="207" t="s">
        <v>153</v>
      </c>
      <c r="J32" s="207" t="s">
        <v>153</v>
      </c>
      <c r="L32" s="224"/>
      <c r="M32" s="207">
        <v>3</v>
      </c>
      <c r="N32" s="207">
        <v>0</v>
      </c>
      <c r="Q32" s="207">
        <v>1</v>
      </c>
      <c r="R32" s="207">
        <v>5</v>
      </c>
      <c r="T32" s="51">
        <v>0</v>
      </c>
      <c r="Y32" s="237"/>
      <c r="Z32" s="237" t="str">
        <f t="shared" si="0"/>
        <v>3.1.2) Pedestrian friendliness</v>
      </c>
      <c r="AA32" s="237" t="str">
        <f t="shared" ref="AA32:AA34" si="5">IF(T32="","0.0",CHOOSE(T32+1,"#,0","#,0.0","#,0.00","#,0.000"))</f>
        <v>#,0</v>
      </c>
      <c r="AB32" s="237">
        <f>INDEX(Weights!$F$7:$F$74,MATCH($B32,Weights!$B$7:$B$74,0))</f>
        <v>1</v>
      </c>
      <c r="AC32" s="237">
        <f t="shared" si="2"/>
        <v>0.2</v>
      </c>
    </row>
    <row r="33" s="207" customFormat="1" spans="1:29">
      <c r="A33" s="207">
        <v>32</v>
      </c>
      <c r="B33" s="207" t="s">
        <v>193</v>
      </c>
      <c r="C33" s="207" t="s">
        <v>182</v>
      </c>
      <c r="D33" s="207">
        <v>3</v>
      </c>
      <c r="E33" s="207">
        <v>0</v>
      </c>
      <c r="F33" s="223" t="s">
        <v>194</v>
      </c>
      <c r="G33" s="207" t="s">
        <v>77</v>
      </c>
      <c r="H33" s="224" t="s">
        <v>195</v>
      </c>
      <c r="I33" s="207" t="s">
        <v>153</v>
      </c>
      <c r="J33" s="207" t="s">
        <v>153</v>
      </c>
      <c r="L33" s="224"/>
      <c r="M33" s="207">
        <v>3</v>
      </c>
      <c r="N33" s="207">
        <v>1</v>
      </c>
      <c r="Q33" s="207">
        <v>1</v>
      </c>
      <c r="R33" s="207">
        <v>5</v>
      </c>
      <c r="T33" s="51">
        <v>0</v>
      </c>
      <c r="Y33" s="237"/>
      <c r="Z33" s="237" t="str">
        <f t="shared" si="0"/>
        <v>3.1.3) Quality of road infrastructure</v>
      </c>
      <c r="AA33" s="237" t="str">
        <f t="shared" si="5"/>
        <v>#,0</v>
      </c>
      <c r="AB33" s="237">
        <f>INDEX(Weights!$F$7:$F$74,MATCH($B33,Weights!$B$7:$B$74,0))</f>
        <v>1</v>
      </c>
      <c r="AC33" s="237">
        <f t="shared" si="2"/>
        <v>0.2</v>
      </c>
    </row>
    <row r="34" s="207" customFormat="1" spans="1:29">
      <c r="A34" s="207">
        <v>33</v>
      </c>
      <c r="B34" s="207" t="s">
        <v>196</v>
      </c>
      <c r="C34" s="207" t="s">
        <v>182</v>
      </c>
      <c r="D34" s="207">
        <v>3</v>
      </c>
      <c r="E34" s="207">
        <v>0</v>
      </c>
      <c r="F34" s="223" t="s">
        <v>197</v>
      </c>
      <c r="G34" s="207" t="s">
        <v>77</v>
      </c>
      <c r="H34" s="224" t="s">
        <v>198</v>
      </c>
      <c r="I34" s="207" t="s">
        <v>153</v>
      </c>
      <c r="J34" s="207" t="s">
        <v>153</v>
      </c>
      <c r="L34" s="224"/>
      <c r="M34" s="207">
        <v>3</v>
      </c>
      <c r="N34" s="207">
        <v>1</v>
      </c>
      <c r="Q34" s="207">
        <v>1</v>
      </c>
      <c r="R34" s="207">
        <v>5</v>
      </c>
      <c r="T34" s="51">
        <v>0</v>
      </c>
      <c r="Y34" s="237"/>
      <c r="Z34" s="237" t="str">
        <f t="shared" si="0"/>
        <v>3.1.4) Quality of electricity infrastructure</v>
      </c>
      <c r="AA34" s="237" t="str">
        <f t="shared" si="5"/>
        <v>#,0</v>
      </c>
      <c r="AB34" s="237">
        <f>INDEX(Weights!$F$7:$F$74,MATCH($B34,Weights!$B$7:$B$74,0))</f>
        <v>1</v>
      </c>
      <c r="AC34" s="237">
        <f t="shared" si="2"/>
        <v>0.2</v>
      </c>
    </row>
    <row r="35" s="207" customFormat="1" spans="1:29">
      <c r="A35" s="207">
        <v>34</v>
      </c>
      <c r="B35" s="207" t="s">
        <v>199</v>
      </c>
      <c r="C35" s="207" t="s">
        <v>182</v>
      </c>
      <c r="D35" s="207">
        <v>3</v>
      </c>
      <c r="E35" s="207">
        <v>0</v>
      </c>
      <c r="F35" s="223" t="s">
        <v>200</v>
      </c>
      <c r="G35" s="207" t="s">
        <v>77</v>
      </c>
      <c r="H35" s="224" t="s">
        <v>201</v>
      </c>
      <c r="I35" s="207" t="s">
        <v>153</v>
      </c>
      <c r="J35" s="207" t="s">
        <v>153</v>
      </c>
      <c r="L35" s="224"/>
      <c r="M35" s="207">
        <v>3</v>
      </c>
      <c r="N35" s="207">
        <v>1</v>
      </c>
      <c r="Q35" s="207">
        <v>1</v>
      </c>
      <c r="R35" s="207">
        <v>5</v>
      </c>
      <c r="T35" s="51">
        <v>0</v>
      </c>
      <c r="Y35" s="237"/>
      <c r="Z35" s="237" t="str">
        <f t="shared" si="0"/>
        <v>3.1.5) Disaster Management/Business Continuity Plan</v>
      </c>
      <c r="AA35" s="237" t="str">
        <f t="shared" ref="AA35" si="6">IF(T35="","0.0",CHOOSE(T35+1,"#,0","#,0.0","#,0.00","#,0.000"))</f>
        <v>#,0</v>
      </c>
      <c r="AB35" s="237">
        <f>INDEX(Weights!$F$7:$F$74,MATCH($B35,Weights!$B$7:$B$74,0))</f>
        <v>1</v>
      </c>
      <c r="AC35" s="237">
        <f t="shared" ref="AC35:AC58" si="7">AB35/SUMIF(C$3:C$58,$C35,AB$3:AB$58)</f>
        <v>0.2</v>
      </c>
    </row>
    <row r="36" s="204" customFormat="1" ht="17.25" customHeight="1" spans="1:29">
      <c r="A36" s="205">
        <v>35</v>
      </c>
      <c r="B36" s="205" t="s">
        <v>202</v>
      </c>
      <c r="C36" s="205" t="s">
        <v>179</v>
      </c>
      <c r="D36" s="205">
        <v>2</v>
      </c>
      <c r="E36" s="205">
        <v>0</v>
      </c>
      <c r="F36" s="222" t="s">
        <v>203</v>
      </c>
      <c r="G36" s="205" t="s">
        <v>106</v>
      </c>
      <c r="H36" s="205" t="s">
        <v>204</v>
      </c>
      <c r="I36" s="227" t="s">
        <v>205</v>
      </c>
      <c r="J36" s="227" t="s">
        <v>73</v>
      </c>
      <c r="K36" s="205"/>
      <c r="L36" s="205"/>
      <c r="M36" s="205">
        <v>1</v>
      </c>
      <c r="N36" s="205">
        <v>0</v>
      </c>
      <c r="O36" s="205"/>
      <c r="P36" s="205"/>
      <c r="Q36" s="205"/>
      <c r="R36" s="205"/>
      <c r="S36" s="205"/>
      <c r="T36" s="51">
        <v>1</v>
      </c>
      <c r="U36" s="205"/>
      <c r="V36" s="205"/>
      <c r="W36" s="205"/>
      <c r="X36" s="205"/>
      <c r="Y36" s="236"/>
      <c r="Z36" s="236" t="str">
        <f t="shared" si="0"/>
        <v>3.2) Infrastructure Safety (Outputs)</v>
      </c>
      <c r="AA36" s="236" t="str">
        <f t="shared" si="4"/>
        <v>#,0.0</v>
      </c>
      <c r="AB36" s="236">
        <f>INDEX(Weights!$F$7:$F$74,MATCH($B36,Weights!$B$7:$B$74,0))</f>
        <v>1</v>
      </c>
      <c r="AC36" s="236">
        <f t="shared" si="7"/>
        <v>0.5</v>
      </c>
    </row>
    <row r="37" s="207" customFormat="1" spans="1:29">
      <c r="A37" s="207">
        <v>36</v>
      </c>
      <c r="B37" s="207" t="s">
        <v>206</v>
      </c>
      <c r="C37" s="207" t="s">
        <v>202</v>
      </c>
      <c r="D37" s="207">
        <v>3</v>
      </c>
      <c r="E37" s="207">
        <v>0</v>
      </c>
      <c r="F37" s="223" t="s">
        <v>207</v>
      </c>
      <c r="G37" s="207" t="s">
        <v>77</v>
      </c>
      <c r="H37" s="224" t="s">
        <v>208</v>
      </c>
      <c r="I37" s="207" t="s">
        <v>209</v>
      </c>
      <c r="J37" s="207" t="s">
        <v>210</v>
      </c>
      <c r="L37" s="224"/>
      <c r="M37" s="207">
        <v>2</v>
      </c>
      <c r="N37" s="228">
        <v>1</v>
      </c>
      <c r="T37" s="51">
        <v>0</v>
      </c>
      <c r="Y37" s="237"/>
      <c r="Z37" s="237" t="str">
        <f t="shared" si="0"/>
        <v>3.2.1) Death from natural disasters</v>
      </c>
      <c r="AA37" s="237" t="str">
        <f t="shared" si="4"/>
        <v>#,0</v>
      </c>
      <c r="AB37" s="237">
        <f>INDEX(Weights!$F$7:$F$74,MATCH($B37,Weights!$B$7:$B$74,0))</f>
        <v>1</v>
      </c>
      <c r="AC37" s="237">
        <f t="shared" si="7"/>
        <v>0.25</v>
      </c>
    </row>
    <row r="38" s="207" customFormat="1" spans="1:29">
      <c r="A38" s="207">
        <v>37</v>
      </c>
      <c r="B38" s="207" t="s">
        <v>211</v>
      </c>
      <c r="C38" s="207" t="s">
        <v>202</v>
      </c>
      <c r="D38" s="207">
        <v>3</v>
      </c>
      <c r="E38" s="207">
        <v>0</v>
      </c>
      <c r="F38" s="223" t="s">
        <v>212</v>
      </c>
      <c r="G38" s="207" t="s">
        <v>77</v>
      </c>
      <c r="H38" s="224" t="s">
        <v>213</v>
      </c>
      <c r="I38" s="207" t="s">
        <v>214</v>
      </c>
      <c r="J38" s="207" t="s">
        <v>210</v>
      </c>
      <c r="L38" s="224"/>
      <c r="M38" s="207">
        <v>2</v>
      </c>
      <c r="N38" s="228">
        <v>1</v>
      </c>
      <c r="T38" s="51">
        <v>2</v>
      </c>
      <c r="Y38" s="237"/>
      <c r="Z38" s="237" t="str">
        <f t="shared" si="0"/>
        <v>3.2.2) Frequency of vehicular accidents</v>
      </c>
      <c r="AA38" s="237" t="str">
        <f t="shared" si="4"/>
        <v>#,0.00</v>
      </c>
      <c r="AB38" s="237">
        <f>INDEX(Weights!$F$7:$F$74,MATCH($B38,Weights!$B$7:$B$74,0))</f>
        <v>1</v>
      </c>
      <c r="AC38" s="237">
        <f t="shared" si="7"/>
        <v>0.25</v>
      </c>
    </row>
    <row r="39" s="207" customFormat="1" spans="1:29">
      <c r="A39" s="207">
        <v>38</v>
      </c>
      <c r="B39" s="207" t="s">
        <v>215</v>
      </c>
      <c r="C39" s="207" t="s">
        <v>202</v>
      </c>
      <c r="D39" s="207">
        <v>3</v>
      </c>
      <c r="E39" s="207">
        <v>0</v>
      </c>
      <c r="F39" s="223" t="s">
        <v>216</v>
      </c>
      <c r="G39" s="207" t="s">
        <v>77</v>
      </c>
      <c r="H39" s="224" t="s">
        <v>217</v>
      </c>
      <c r="I39" s="207" t="s">
        <v>209</v>
      </c>
      <c r="J39" s="207" t="s">
        <v>210</v>
      </c>
      <c r="L39" s="224"/>
      <c r="M39" s="207">
        <v>2</v>
      </c>
      <c r="N39" s="228">
        <v>1</v>
      </c>
      <c r="T39" s="51">
        <v>2</v>
      </c>
      <c r="Y39" s="237"/>
      <c r="Z39" s="237" t="str">
        <f t="shared" si="0"/>
        <v>3.2.3) Frequency of pedestrian deaths</v>
      </c>
      <c r="AA39" s="237" t="str">
        <f t="shared" ref="AA39:AA40" si="8">IF(T39="","0.0",CHOOSE(T39+1,"#,0","#,0.0","#,0.00","#,0.000"))</f>
        <v>#,0.00</v>
      </c>
      <c r="AB39" s="237">
        <f>INDEX(Weights!$F$7:$F$74,MATCH($B39,Weights!$B$7:$B$74,0))</f>
        <v>1</v>
      </c>
      <c r="AC39" s="237">
        <f t="shared" si="7"/>
        <v>0.25</v>
      </c>
    </row>
    <row r="40" s="207" customFormat="1" spans="1:29">
      <c r="A40" s="207">
        <v>39</v>
      </c>
      <c r="B40" s="207" t="s">
        <v>218</v>
      </c>
      <c r="C40" s="207" t="s">
        <v>202</v>
      </c>
      <c r="D40" s="207">
        <v>3</v>
      </c>
      <c r="E40" s="207">
        <v>0</v>
      </c>
      <c r="F40" s="223" t="s">
        <v>219</v>
      </c>
      <c r="G40" s="207" t="s">
        <v>77</v>
      </c>
      <c r="H40" s="224" t="s">
        <v>220</v>
      </c>
      <c r="I40" s="207" t="s">
        <v>121</v>
      </c>
      <c r="J40" s="207" t="s">
        <v>113</v>
      </c>
      <c r="L40" s="224"/>
      <c r="M40" s="207">
        <v>2</v>
      </c>
      <c r="N40" s="228">
        <v>1</v>
      </c>
      <c r="T40" s="51">
        <v>0</v>
      </c>
      <c r="Y40" s="237"/>
      <c r="Z40" s="237" t="str">
        <f t="shared" si="0"/>
        <v>3.2.4) Percent living in urban slums</v>
      </c>
      <c r="AA40" s="237" t="str">
        <f t="shared" si="8"/>
        <v>#,0</v>
      </c>
      <c r="AB40" s="237">
        <f>INDEX(Weights!$F$7:$F$74,MATCH($B40,Weights!$B$7:$B$74,0))</f>
        <v>1</v>
      </c>
      <c r="AC40" s="237">
        <f t="shared" si="7"/>
        <v>0.25</v>
      </c>
    </row>
    <row r="41" s="211" customFormat="1" ht="17.25" customHeight="1" spans="1:29">
      <c r="A41" s="209">
        <v>40</v>
      </c>
      <c r="B41" s="209" t="s">
        <v>221</v>
      </c>
      <c r="C41" s="209" t="s">
        <v>61</v>
      </c>
      <c r="D41" s="209">
        <v>1</v>
      </c>
      <c r="E41" s="209">
        <v>0</v>
      </c>
      <c r="F41" s="221" t="s">
        <v>222</v>
      </c>
      <c r="G41" s="209" t="s">
        <v>65</v>
      </c>
      <c r="H41" s="209" t="str">
        <f>IF(uxbWorks!$B$9,"RATIO of OUTPUT/INPUT (PERSONAL SAFETY )","PERSONAL SAFETY")</f>
        <v>PERSONAL SAFETY</v>
      </c>
      <c r="I41" s="225" t="s">
        <v>223</v>
      </c>
      <c r="J41" s="226" t="s">
        <v>73</v>
      </c>
      <c r="K41" s="209"/>
      <c r="L41" s="209"/>
      <c r="M41" s="209">
        <v>1</v>
      </c>
      <c r="N41" s="209">
        <v>0</v>
      </c>
      <c r="O41" s="209"/>
      <c r="P41" s="209"/>
      <c r="Q41" s="209"/>
      <c r="R41" s="209"/>
      <c r="S41" s="209"/>
      <c r="T41" s="51">
        <v>1</v>
      </c>
      <c r="U41" s="209"/>
      <c r="V41" s="209"/>
      <c r="W41" s="209"/>
      <c r="X41" s="209"/>
      <c r="Y41" s="234"/>
      <c r="Z41" s="235" t="str">
        <f t="shared" si="0"/>
        <v>4) PERSONAL SAFETY</v>
      </c>
      <c r="AA41" s="235" t="str">
        <f t="shared" si="4"/>
        <v>#,0.0</v>
      </c>
      <c r="AB41" s="235">
        <f>INDEX(Weights!$F$7:$F$74,MATCH($B41,Weights!$B$7:$B$74,0))</f>
        <v>1</v>
      </c>
      <c r="AC41" s="235">
        <f t="shared" si="7"/>
        <v>0.25</v>
      </c>
    </row>
    <row r="42" s="204" customFormat="1" ht="17.25" customHeight="1" spans="1:29">
      <c r="A42" s="205">
        <v>41</v>
      </c>
      <c r="B42" s="205" t="s">
        <v>224</v>
      </c>
      <c r="C42" s="205" t="s">
        <v>221</v>
      </c>
      <c r="D42" s="205">
        <v>2</v>
      </c>
      <c r="E42" s="205">
        <v>0</v>
      </c>
      <c r="F42" s="222" t="s">
        <v>225</v>
      </c>
      <c r="G42" s="205" t="s">
        <v>106</v>
      </c>
      <c r="H42" s="205" t="s">
        <v>226</v>
      </c>
      <c r="I42" s="227" t="s">
        <v>227</v>
      </c>
      <c r="J42" s="227" t="s">
        <v>73</v>
      </c>
      <c r="K42" s="205"/>
      <c r="L42" s="205"/>
      <c r="M42" s="205">
        <v>1</v>
      </c>
      <c r="N42" s="205">
        <v>0</v>
      </c>
      <c r="O42" s="205"/>
      <c r="P42" s="205"/>
      <c r="Q42" s="205"/>
      <c r="R42" s="205"/>
      <c r="S42" s="205"/>
      <c r="T42" s="51">
        <v>1</v>
      </c>
      <c r="U42" s="205"/>
      <c r="V42" s="205"/>
      <c r="W42" s="205"/>
      <c r="X42" s="205"/>
      <c r="Y42" s="236"/>
      <c r="Z42" s="236" t="str">
        <f t="shared" si="0"/>
        <v>4.1) Personal Safety (Inputs)</v>
      </c>
      <c r="AA42" s="236" t="str">
        <f t="shared" ref="AA42" si="9">IF(T42="","0.0",CHOOSE(T42+1,"#,0","#,0.0","#,0.00","#,0.000"))</f>
        <v>#,0.0</v>
      </c>
      <c r="AB42" s="236">
        <f>INDEX(Weights!$F$7:$F$74,MATCH($B42,Weights!$B$7:$B$74,0))</f>
        <v>1</v>
      </c>
      <c r="AC42" s="236">
        <f t="shared" si="7"/>
        <v>0.5</v>
      </c>
    </row>
    <row r="43" s="207" customFormat="1" spans="1:29">
      <c r="A43" s="207">
        <v>42</v>
      </c>
      <c r="B43" s="207" t="s">
        <v>228</v>
      </c>
      <c r="C43" s="207" t="s">
        <v>224</v>
      </c>
      <c r="D43" s="207">
        <v>3</v>
      </c>
      <c r="E43" s="207">
        <v>0</v>
      </c>
      <c r="F43" s="223" t="s">
        <v>229</v>
      </c>
      <c r="G43" s="207" t="s">
        <v>77</v>
      </c>
      <c r="H43" s="224" t="s">
        <v>230</v>
      </c>
      <c r="I43" s="207" t="s">
        <v>231</v>
      </c>
      <c r="J43" s="207" t="s">
        <v>232</v>
      </c>
      <c r="L43" s="224"/>
      <c r="M43" s="207">
        <v>3</v>
      </c>
      <c r="N43" s="228">
        <v>0</v>
      </c>
      <c r="Q43" s="207">
        <v>0</v>
      </c>
      <c r="R43" s="207">
        <v>1</v>
      </c>
      <c r="T43" s="51">
        <v>0</v>
      </c>
      <c r="Y43" s="237"/>
      <c r="Z43" s="237" t="str">
        <f t="shared" si="0"/>
        <v>4.1.1) Level of police engagement</v>
      </c>
      <c r="AA43" s="237" t="str">
        <f t="shared" si="4"/>
        <v>#,0</v>
      </c>
      <c r="AB43" s="237">
        <f>INDEX(Weights!$F$7:$F$74,MATCH($B43,Weights!$B$7:$B$74,0))</f>
        <v>1</v>
      </c>
      <c r="AC43" s="237">
        <f t="shared" si="7"/>
        <v>0.142857142857143</v>
      </c>
    </row>
    <row r="44" s="207" customFormat="1" spans="1:29">
      <c r="A44" s="207">
        <v>43</v>
      </c>
      <c r="B44" s="207" t="s">
        <v>233</v>
      </c>
      <c r="C44" s="207" t="s">
        <v>224</v>
      </c>
      <c r="D44" s="207">
        <v>3</v>
      </c>
      <c r="E44" s="207">
        <v>0</v>
      </c>
      <c r="F44" s="223" t="s">
        <v>234</v>
      </c>
      <c r="G44" s="207" t="s">
        <v>77</v>
      </c>
      <c r="H44" s="224" t="s">
        <v>235</v>
      </c>
      <c r="I44" s="207" t="s">
        <v>236</v>
      </c>
      <c r="J44" s="207" t="s">
        <v>237</v>
      </c>
      <c r="L44" s="224"/>
      <c r="M44" s="207">
        <v>2</v>
      </c>
      <c r="N44" s="207">
        <v>0</v>
      </c>
      <c r="T44" s="51">
        <v>0</v>
      </c>
      <c r="Y44" s="237"/>
      <c r="Z44" s="237" t="str">
        <f t="shared" si="0"/>
        <v>4.1.2) Community-based patrolling</v>
      </c>
      <c r="AA44" s="237" t="str">
        <f t="shared" si="4"/>
        <v>#,0</v>
      </c>
      <c r="AB44" s="237">
        <f>INDEX(Weights!$F$7:$F$74,MATCH($B44,Weights!$B$7:$B$74,0))</f>
        <v>1</v>
      </c>
      <c r="AC44" s="237">
        <f t="shared" si="7"/>
        <v>0.142857142857143</v>
      </c>
    </row>
    <row r="45" s="207" customFormat="1" spans="1:29">
      <c r="A45" s="207">
        <v>44</v>
      </c>
      <c r="B45" s="207" t="s">
        <v>238</v>
      </c>
      <c r="C45" s="207" t="s">
        <v>224</v>
      </c>
      <c r="D45" s="207">
        <v>3</v>
      </c>
      <c r="E45" s="207">
        <v>0</v>
      </c>
      <c r="F45" s="223" t="s">
        <v>239</v>
      </c>
      <c r="G45" s="207" t="s">
        <v>77</v>
      </c>
      <c r="H45" s="224" t="s">
        <v>240</v>
      </c>
      <c r="I45" s="207" t="s">
        <v>236</v>
      </c>
      <c r="J45" s="207" t="s">
        <v>237</v>
      </c>
      <c r="L45" s="224"/>
      <c r="M45" s="207">
        <v>2</v>
      </c>
      <c r="N45" s="207">
        <v>0</v>
      </c>
      <c r="T45" s="51">
        <v>0</v>
      </c>
      <c r="Y45" s="237"/>
      <c r="Z45" s="237" t="str">
        <f t="shared" si="0"/>
        <v>4.1.3) Availability of street-level crime data</v>
      </c>
      <c r="AA45" s="237" t="str">
        <f t="shared" si="4"/>
        <v>#,0</v>
      </c>
      <c r="AB45" s="237">
        <f>INDEX(Weights!$F$7:$F$74,MATCH($B45,Weights!$B$7:$B$74,0))</f>
        <v>1</v>
      </c>
      <c r="AC45" s="237">
        <f t="shared" si="7"/>
        <v>0.142857142857143</v>
      </c>
    </row>
    <row r="46" s="207" customFormat="1" spans="1:29">
      <c r="A46" s="207">
        <v>45</v>
      </c>
      <c r="B46" s="207" t="s">
        <v>241</v>
      </c>
      <c r="C46" s="207" t="s">
        <v>224</v>
      </c>
      <c r="D46" s="207">
        <v>3</v>
      </c>
      <c r="E46" s="207">
        <v>0</v>
      </c>
      <c r="F46" s="223" t="s">
        <v>242</v>
      </c>
      <c r="G46" s="207" t="s">
        <v>77</v>
      </c>
      <c r="H46" s="224" t="s">
        <v>243</v>
      </c>
      <c r="I46" s="207" t="s">
        <v>236</v>
      </c>
      <c r="J46" s="207" t="s">
        <v>237</v>
      </c>
      <c r="L46" s="224"/>
      <c r="M46" s="207">
        <v>2</v>
      </c>
      <c r="N46" s="207">
        <v>0</v>
      </c>
      <c r="T46" s="51">
        <v>0</v>
      </c>
      <c r="Y46" s="237"/>
      <c r="Z46" s="237" t="str">
        <f t="shared" si="0"/>
        <v>4.1.4) Use of data-driven techniques for crime</v>
      </c>
      <c r="AA46" s="237" t="str">
        <f t="shared" si="4"/>
        <v>#,0</v>
      </c>
      <c r="AB46" s="237">
        <f>INDEX(Weights!$F$7:$F$74,MATCH($B46,Weights!$B$7:$B$74,0))</f>
        <v>1</v>
      </c>
      <c r="AC46" s="237">
        <f t="shared" si="7"/>
        <v>0.142857142857143</v>
      </c>
    </row>
    <row r="47" s="207" customFormat="1" spans="1:29">
      <c r="A47" s="207">
        <v>46</v>
      </c>
      <c r="B47" s="207" t="s">
        <v>244</v>
      </c>
      <c r="C47" s="207" t="s">
        <v>224</v>
      </c>
      <c r="D47" s="207">
        <v>3</v>
      </c>
      <c r="E47" s="207">
        <v>0</v>
      </c>
      <c r="F47" s="223" t="s">
        <v>245</v>
      </c>
      <c r="G47" s="207" t="s">
        <v>77</v>
      </c>
      <c r="H47" s="224" t="s">
        <v>246</v>
      </c>
      <c r="I47" s="207" t="s">
        <v>236</v>
      </c>
      <c r="J47" s="207" t="s">
        <v>237</v>
      </c>
      <c r="L47" s="224"/>
      <c r="M47" s="207">
        <v>2</v>
      </c>
      <c r="N47" s="207">
        <v>0</v>
      </c>
      <c r="T47" s="51">
        <v>0</v>
      </c>
      <c r="Y47" s="237"/>
      <c r="Z47" s="237" t="str">
        <f t="shared" si="0"/>
        <v>4.1.5) Private security measures</v>
      </c>
      <c r="AA47" s="237" t="str">
        <f t="shared" si="4"/>
        <v>#,0</v>
      </c>
      <c r="AB47" s="237">
        <f>INDEX(Weights!$F$7:$F$74,MATCH($B47,Weights!$B$7:$B$74,0))</f>
        <v>1</v>
      </c>
      <c r="AC47" s="237">
        <f t="shared" si="7"/>
        <v>0.142857142857143</v>
      </c>
    </row>
    <row r="48" s="207" customFormat="1" spans="1:29">
      <c r="A48" s="207">
        <v>47</v>
      </c>
      <c r="B48" s="207" t="s">
        <v>247</v>
      </c>
      <c r="C48" s="207" t="s">
        <v>224</v>
      </c>
      <c r="D48" s="207">
        <v>3</v>
      </c>
      <c r="E48" s="207">
        <v>0</v>
      </c>
      <c r="F48" s="223" t="s">
        <v>248</v>
      </c>
      <c r="G48" s="207" t="s">
        <v>77</v>
      </c>
      <c r="H48" s="224" t="s">
        <v>249</v>
      </c>
      <c r="I48" s="207" t="s">
        <v>250</v>
      </c>
      <c r="J48" s="207" t="s">
        <v>250</v>
      </c>
      <c r="L48" s="224"/>
      <c r="M48" s="207">
        <v>2</v>
      </c>
      <c r="N48" s="207">
        <v>1</v>
      </c>
      <c r="T48" s="51">
        <v>0</v>
      </c>
      <c r="Y48" s="237"/>
      <c r="Z48" s="237" t="str">
        <f t="shared" si="0"/>
        <v>4.1.6) Gun regulation and enforcement</v>
      </c>
      <c r="AA48" s="237" t="str">
        <f t="shared" ref="AA48:AA51" si="10">IF(T48="","0.0",CHOOSE(T48+1,"#,0","#,0.0","#,0.00","#,0.000"))</f>
        <v>#,0</v>
      </c>
      <c r="AB48" s="237">
        <f>INDEX(Weights!$F$7:$F$74,MATCH($B48,Weights!$B$7:$B$74,0))</f>
        <v>1</v>
      </c>
      <c r="AC48" s="237">
        <f t="shared" si="7"/>
        <v>0.142857142857143</v>
      </c>
    </row>
    <row r="49" s="207" customFormat="1" spans="1:29">
      <c r="A49" s="207">
        <v>48</v>
      </c>
      <c r="B49" s="207" t="s">
        <v>251</v>
      </c>
      <c r="C49" s="207" t="s">
        <v>224</v>
      </c>
      <c r="D49" s="207">
        <v>3</v>
      </c>
      <c r="E49" s="207">
        <v>0</v>
      </c>
      <c r="F49" s="223" t="s">
        <v>252</v>
      </c>
      <c r="G49" s="207" t="s">
        <v>77</v>
      </c>
      <c r="H49" s="224" t="s">
        <v>253</v>
      </c>
      <c r="I49" s="207" t="s">
        <v>254</v>
      </c>
      <c r="J49" s="207" t="s">
        <v>254</v>
      </c>
      <c r="L49" s="224"/>
      <c r="M49" s="207">
        <v>3</v>
      </c>
      <c r="N49" s="207">
        <v>1</v>
      </c>
      <c r="Q49" s="207">
        <v>0</v>
      </c>
      <c r="R49" s="207">
        <v>100</v>
      </c>
      <c r="T49" s="51">
        <v>0</v>
      </c>
      <c r="Y49" s="237"/>
      <c r="Z49" s="237" t="str">
        <f t="shared" si="0"/>
        <v>4.1.7) Political Stability Risk</v>
      </c>
      <c r="AA49" s="237" t="str">
        <f t="shared" ref="AA49" si="11">IF(T49="","0.0",CHOOSE(T49+1,"#,0","#,0.0","#,0.00","#,0.000"))</f>
        <v>#,0</v>
      </c>
      <c r="AB49" s="237">
        <f>INDEX(Weights!$F$7:$F$74,MATCH($B49,Weights!$B$7:$B$74,0))</f>
        <v>1</v>
      </c>
      <c r="AC49" s="237">
        <f t="shared" si="7"/>
        <v>0.142857142857143</v>
      </c>
    </row>
    <row r="50" s="204" customFormat="1" ht="17.25" customHeight="1" spans="1:29">
      <c r="A50" s="205">
        <v>49</v>
      </c>
      <c r="B50" s="205" t="s">
        <v>255</v>
      </c>
      <c r="C50" s="205" t="s">
        <v>221</v>
      </c>
      <c r="D50" s="205">
        <v>2</v>
      </c>
      <c r="E50" s="205">
        <v>0</v>
      </c>
      <c r="F50" s="222" t="s">
        <v>256</v>
      </c>
      <c r="G50" s="205" t="s">
        <v>106</v>
      </c>
      <c r="H50" s="205" t="s">
        <v>257</v>
      </c>
      <c r="I50" s="227" t="s">
        <v>258</v>
      </c>
      <c r="J50" s="227" t="s">
        <v>73</v>
      </c>
      <c r="K50" s="205"/>
      <c r="L50" s="205"/>
      <c r="M50" s="205">
        <v>1</v>
      </c>
      <c r="N50" s="205">
        <v>0</v>
      </c>
      <c r="O50" s="205"/>
      <c r="P50" s="205"/>
      <c r="Q50" s="205"/>
      <c r="R50" s="205"/>
      <c r="S50" s="205"/>
      <c r="T50" s="51">
        <v>1</v>
      </c>
      <c r="U50" s="205"/>
      <c r="V50" s="205"/>
      <c r="W50" s="205"/>
      <c r="X50" s="205"/>
      <c r="Y50" s="236"/>
      <c r="Z50" s="236" t="str">
        <f t="shared" si="0"/>
        <v>4.2) Personal Safety (Outputs)</v>
      </c>
      <c r="AA50" s="236" t="str">
        <f t="shared" si="10"/>
        <v>#,0.0</v>
      </c>
      <c r="AB50" s="236">
        <f>INDEX(Weights!$F$7:$F$74,MATCH($B50,Weights!$B$7:$B$74,0))</f>
        <v>1</v>
      </c>
      <c r="AC50" s="236">
        <f t="shared" si="7"/>
        <v>0.5</v>
      </c>
    </row>
    <row r="51" s="207" customFormat="1" spans="1:29">
      <c r="A51" s="207">
        <v>50</v>
      </c>
      <c r="B51" s="207" t="s">
        <v>259</v>
      </c>
      <c r="C51" s="207" t="s">
        <v>255</v>
      </c>
      <c r="D51" s="207">
        <v>3</v>
      </c>
      <c r="E51" s="207">
        <v>0</v>
      </c>
      <c r="F51" s="223" t="s">
        <v>260</v>
      </c>
      <c r="G51" s="207" t="s">
        <v>77</v>
      </c>
      <c r="H51" s="224" t="s">
        <v>261</v>
      </c>
      <c r="I51" s="207" t="s">
        <v>262</v>
      </c>
      <c r="J51" s="207" t="s">
        <v>262</v>
      </c>
      <c r="L51" s="224"/>
      <c r="M51" s="207">
        <v>2</v>
      </c>
      <c r="N51" s="207">
        <v>1</v>
      </c>
      <c r="T51" s="51">
        <v>0</v>
      </c>
      <c r="Y51" s="237"/>
      <c r="Z51" s="237" t="str">
        <f t="shared" si="0"/>
        <v>4.2.1) Prevalence of petty crime</v>
      </c>
      <c r="AA51" s="237" t="str">
        <f t="shared" si="10"/>
        <v>#,0</v>
      </c>
      <c r="AB51" s="237">
        <f>INDEX(Weights!$F$7:$F$74,MATCH($B51,Weights!$B$7:$B$74,0))</f>
        <v>1</v>
      </c>
      <c r="AC51" s="237">
        <f t="shared" si="7"/>
        <v>0.125</v>
      </c>
    </row>
    <row r="52" s="207" customFormat="1" spans="1:29">
      <c r="A52" s="207">
        <v>51</v>
      </c>
      <c r="B52" s="207" t="s">
        <v>263</v>
      </c>
      <c r="C52" s="207" t="s">
        <v>255</v>
      </c>
      <c r="D52" s="207">
        <v>3</v>
      </c>
      <c r="E52" s="207">
        <v>0</v>
      </c>
      <c r="F52" s="223" t="s">
        <v>264</v>
      </c>
      <c r="G52" s="207" t="s">
        <v>77</v>
      </c>
      <c r="H52" s="224" t="s">
        <v>265</v>
      </c>
      <c r="I52" s="207" t="s">
        <v>262</v>
      </c>
      <c r="J52" s="207" t="s">
        <v>262</v>
      </c>
      <c r="L52" s="224"/>
      <c r="M52" s="207">
        <v>2</v>
      </c>
      <c r="N52" s="207">
        <v>1</v>
      </c>
      <c r="T52" s="51">
        <v>0</v>
      </c>
      <c r="Y52" s="237"/>
      <c r="Z52" s="237" t="str">
        <f t="shared" si="0"/>
        <v>4.2.2) Prevalence of violence crime</v>
      </c>
      <c r="AA52" s="237" t="str">
        <f t="shared" ref="AA52:AA58" si="12">IF(T52="","0.0",CHOOSE(T52+1,"#,0","#,0.0","#,0.00","#,0.000"))</f>
        <v>#,0</v>
      </c>
      <c r="AB52" s="237">
        <f>INDEX(Weights!$F$7:$F$74,MATCH($B52,Weights!$B$7:$B$74,0))</f>
        <v>1</v>
      </c>
      <c r="AC52" s="237">
        <f t="shared" si="7"/>
        <v>0.125</v>
      </c>
    </row>
    <row r="53" s="207" customFormat="1" spans="1:29">
      <c r="A53" s="207">
        <v>52</v>
      </c>
      <c r="B53" s="207" t="s">
        <v>266</v>
      </c>
      <c r="C53" s="207" t="s">
        <v>255</v>
      </c>
      <c r="D53" s="207">
        <v>3</v>
      </c>
      <c r="E53" s="207">
        <v>0</v>
      </c>
      <c r="F53" s="223" t="s">
        <v>267</v>
      </c>
      <c r="G53" s="207" t="s">
        <v>77</v>
      </c>
      <c r="H53" s="224" t="s">
        <v>268</v>
      </c>
      <c r="I53" s="207" t="s">
        <v>269</v>
      </c>
      <c r="J53" s="207" t="s">
        <v>270</v>
      </c>
      <c r="L53" s="224"/>
      <c r="M53" s="207">
        <v>2</v>
      </c>
      <c r="N53" s="207">
        <v>1</v>
      </c>
      <c r="T53" s="51">
        <v>0</v>
      </c>
      <c r="Y53" s="237"/>
      <c r="Z53" s="237" t="str">
        <f t="shared" si="0"/>
        <v>4.2.3) Criminal gang activity</v>
      </c>
      <c r="AA53" s="237" t="str">
        <f t="shared" si="12"/>
        <v>#,0</v>
      </c>
      <c r="AB53" s="237">
        <f>INDEX(Weights!$F$7:$F$74,MATCH($B53,Weights!$B$7:$B$74,0))</f>
        <v>1</v>
      </c>
      <c r="AC53" s="237">
        <f t="shared" si="7"/>
        <v>0.125</v>
      </c>
    </row>
    <row r="54" s="207" customFormat="1" spans="1:29">
      <c r="A54" s="207">
        <v>53</v>
      </c>
      <c r="B54" s="207" t="s">
        <v>271</v>
      </c>
      <c r="C54" s="207" t="s">
        <v>255</v>
      </c>
      <c r="D54" s="207">
        <v>3</v>
      </c>
      <c r="E54" s="207">
        <v>0</v>
      </c>
      <c r="F54" s="223" t="s">
        <v>272</v>
      </c>
      <c r="G54" s="207" t="s">
        <v>77</v>
      </c>
      <c r="H54" s="224" t="s">
        <v>273</v>
      </c>
      <c r="I54" s="207" t="s">
        <v>254</v>
      </c>
      <c r="J54" s="207" t="s">
        <v>254</v>
      </c>
      <c r="L54" s="224"/>
      <c r="M54" s="207">
        <v>3</v>
      </c>
      <c r="N54" s="207">
        <v>1</v>
      </c>
      <c r="Q54" s="207">
        <v>0</v>
      </c>
      <c r="R54" s="207">
        <v>100</v>
      </c>
      <c r="T54" s="51">
        <v>0</v>
      </c>
      <c r="Y54" s="237"/>
      <c r="Z54" s="237" t="str">
        <f t="shared" si="0"/>
        <v>4.2.4) Level of corruption in police force</v>
      </c>
      <c r="AA54" s="237" t="str">
        <f t="shared" si="12"/>
        <v>#,0</v>
      </c>
      <c r="AB54" s="237">
        <f>INDEX(Weights!$F$7:$F$74,MATCH($B54,Weights!$B$7:$B$74,0))</f>
        <v>1</v>
      </c>
      <c r="AC54" s="237">
        <f t="shared" si="7"/>
        <v>0.125</v>
      </c>
    </row>
    <row r="55" s="207" customFormat="1" spans="1:29">
      <c r="A55" s="207">
        <v>54</v>
      </c>
      <c r="B55" s="207" t="s">
        <v>274</v>
      </c>
      <c r="C55" s="207" t="s">
        <v>255</v>
      </c>
      <c r="D55" s="207">
        <v>3</v>
      </c>
      <c r="E55" s="207">
        <v>0</v>
      </c>
      <c r="F55" s="223" t="s">
        <v>275</v>
      </c>
      <c r="G55" s="207" t="s">
        <v>77</v>
      </c>
      <c r="H55" s="224" t="s">
        <v>276</v>
      </c>
      <c r="I55" s="207" t="s">
        <v>121</v>
      </c>
      <c r="J55" s="207" t="s">
        <v>113</v>
      </c>
      <c r="L55" s="224"/>
      <c r="M55" s="207">
        <v>2</v>
      </c>
      <c r="N55" s="207">
        <v>1</v>
      </c>
      <c r="T55" s="51">
        <v>1</v>
      </c>
      <c r="Y55" s="237"/>
      <c r="Z55" s="237" t="str">
        <f t="shared" si="0"/>
        <v>4.2.5) Rate of drug use</v>
      </c>
      <c r="AA55" s="237" t="str">
        <f t="shared" si="12"/>
        <v>#,0.0</v>
      </c>
      <c r="AB55" s="237">
        <f>INDEX(Weights!$F$7:$F$74,MATCH($B55,Weights!$B$7:$B$74,0))</f>
        <v>1</v>
      </c>
      <c r="AC55" s="237">
        <f t="shared" si="7"/>
        <v>0.125</v>
      </c>
    </row>
    <row r="56" s="207" customFormat="1" spans="1:29">
      <c r="A56" s="207">
        <v>55</v>
      </c>
      <c r="B56" s="207" t="s">
        <v>277</v>
      </c>
      <c r="C56" s="207" t="s">
        <v>255</v>
      </c>
      <c r="D56" s="207">
        <v>3</v>
      </c>
      <c r="E56" s="207">
        <v>0</v>
      </c>
      <c r="F56" s="223" t="s">
        <v>278</v>
      </c>
      <c r="G56" s="207" t="s">
        <v>77</v>
      </c>
      <c r="H56" s="224" t="s">
        <v>279</v>
      </c>
      <c r="I56" s="207" t="s">
        <v>280</v>
      </c>
      <c r="J56" s="207" t="s">
        <v>281</v>
      </c>
      <c r="L56" s="224"/>
      <c r="M56" s="207">
        <v>2</v>
      </c>
      <c r="N56" s="207">
        <v>1</v>
      </c>
      <c r="T56" s="51">
        <v>0</v>
      </c>
      <c r="Y56" s="237"/>
      <c r="Z56" s="237" t="str">
        <f t="shared" si="0"/>
        <v>4.2.6) Frequency of terrorist attacks</v>
      </c>
      <c r="AA56" s="237" t="str">
        <f t="shared" si="12"/>
        <v>#,0</v>
      </c>
      <c r="AB56" s="237">
        <f>INDEX(Weights!$F$7:$F$74,MATCH($B56,Weights!$B$7:$B$74,0))</f>
        <v>1</v>
      </c>
      <c r="AC56" s="237">
        <f t="shared" si="7"/>
        <v>0.125</v>
      </c>
    </row>
    <row r="57" s="207" customFormat="1" spans="1:29">
      <c r="A57" s="207">
        <v>56</v>
      </c>
      <c r="B57" s="207" t="s">
        <v>282</v>
      </c>
      <c r="C57" s="207" t="s">
        <v>255</v>
      </c>
      <c r="D57" s="207">
        <v>3</v>
      </c>
      <c r="E57" s="207">
        <v>0</v>
      </c>
      <c r="F57" s="223" t="s">
        <v>283</v>
      </c>
      <c r="G57" s="207" t="s">
        <v>77</v>
      </c>
      <c r="H57" s="224" t="s">
        <v>284</v>
      </c>
      <c r="I57" s="207" t="s">
        <v>285</v>
      </c>
      <c r="J57" s="207" t="s">
        <v>286</v>
      </c>
      <c r="L57" s="224"/>
      <c r="M57" s="207">
        <v>2</v>
      </c>
      <c r="N57" s="207">
        <v>1</v>
      </c>
      <c r="T57" s="51">
        <v>0</v>
      </c>
      <c r="Y57" s="237"/>
      <c r="Z57" s="237" t="str">
        <f t="shared" si="0"/>
        <v>4.2.7) Gender safety</v>
      </c>
      <c r="AA57" s="237" t="str">
        <f t="shared" si="12"/>
        <v>#,0</v>
      </c>
      <c r="AB57" s="237">
        <f>INDEX(Weights!$F$7:$F$74,MATCH($B57,Weights!$B$7:$B$74,0))</f>
        <v>1</v>
      </c>
      <c r="AC57" s="237">
        <f t="shared" si="7"/>
        <v>0.125</v>
      </c>
    </row>
    <row r="58" s="207" customFormat="1" spans="1:29">
      <c r="A58" s="207">
        <v>57</v>
      </c>
      <c r="B58" s="207" t="s">
        <v>287</v>
      </c>
      <c r="C58" s="207" t="s">
        <v>255</v>
      </c>
      <c r="D58" s="207">
        <v>3</v>
      </c>
      <c r="E58" s="207">
        <v>0</v>
      </c>
      <c r="F58" s="223" t="s">
        <v>288</v>
      </c>
      <c r="G58" s="207" t="s">
        <v>77</v>
      </c>
      <c r="H58" s="224" t="s">
        <v>289</v>
      </c>
      <c r="I58" s="229" t="s">
        <v>290</v>
      </c>
      <c r="J58" s="207" t="s">
        <v>254</v>
      </c>
      <c r="L58" s="224"/>
      <c r="M58" s="207">
        <v>3</v>
      </c>
      <c r="N58" s="207">
        <v>0</v>
      </c>
      <c r="Q58" s="207">
        <v>0</v>
      </c>
      <c r="R58" s="207">
        <v>100</v>
      </c>
      <c r="T58" s="51">
        <v>0</v>
      </c>
      <c r="Y58" s="237"/>
      <c r="Z58" s="237" t="str">
        <f t="shared" si="0"/>
        <v>4.2.8) Perceptions of safety</v>
      </c>
      <c r="AA58" s="237" t="str">
        <f t="shared" si="12"/>
        <v>#,0</v>
      </c>
      <c r="AB58" s="237">
        <f>INDEX(Weights!$F$7:$F$74,MATCH($B58,Weights!$B$7:$B$74,0))</f>
        <v>1</v>
      </c>
      <c r="AC58" s="237">
        <f t="shared" si="7"/>
        <v>0.125</v>
      </c>
    </row>
  </sheetData>
  <sheetProtection selectLockedCells="1" selectUnlockedCells="1"/>
  <pageMargins left="0.7" right="0.7" top="0.75" bottom="0.75" header="0.3" footer="0.3"/>
  <pageSetup paperSize="1"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pageSetUpPr fitToPage="1"/>
  </sheetPr>
  <dimension ref="A1:J58"/>
  <sheetViews>
    <sheetView showGridLines="0" showRowColHeaders="0" tabSelected="1" workbookViewId="0">
      <selection activeCell="A1" sqref="A1"/>
    </sheetView>
  </sheetViews>
  <sheetFormatPr defaultColWidth="9" defaultRowHeight="15"/>
  <cols>
    <col min="1" max="1" width="5" customWidth="1"/>
    <col min="2" max="2" width="4.42857142857143" hidden="1" customWidth="1"/>
    <col min="3" max="3" width="4.71428571428571" customWidth="1"/>
    <col min="4" max="4" width="17.1428571428571" customWidth="1"/>
    <col min="5" max="5" width="11" hidden="1" customWidth="1"/>
    <col min="6" max="6" width="16.7142857142857" customWidth="1"/>
    <col min="7" max="8" width="11" customWidth="1"/>
    <col min="9" max="9" width="11.7142857142857" customWidth="1"/>
    <col min="10" max="10" width="86.7142857142857" customWidth="1"/>
  </cols>
  <sheetData>
    <row r="1" ht="27" customHeight="1" spans="1:5">
      <c r="A1" s="2" t="str">
        <f>Summary!A1</f>
        <v>                             Safe City Index</v>
      </c>
      <c r="B1" s="2"/>
      <c r="C1" s="2"/>
      <c r="D1" t="s">
        <v>1699</v>
      </c>
      <c r="E1" s="1"/>
    </row>
    <row r="2" ht="21" customHeight="1"/>
    <row r="3" ht="37.5" customHeight="1"/>
    <row r="5" ht="18.75" spans="3:3">
      <c r="C5" s="67" t="str">
        <f>iRankIndi!$B$5</f>
        <v>4.2) Personal Safety (Outputs)</v>
      </c>
    </row>
    <row r="6" spans="3:3">
      <c r="C6" s="121"/>
    </row>
    <row r="7" spans="3:3">
      <c r="C7" s="121"/>
    </row>
    <row r="8" spans="3:10">
      <c r="C8" s="122"/>
      <c r="D8" s="122"/>
      <c r="E8" s="26" t="s">
        <v>400</v>
      </c>
      <c r="F8" s="122"/>
      <c r="G8" s="26" t="str">
        <f>iRankIndi!B4</f>
        <v>Score / 100</v>
      </c>
      <c r="J8" s="21" t="s">
        <v>1644</v>
      </c>
    </row>
    <row r="9" ht="18" customHeight="1" spans="2:10">
      <c r="B9">
        <f>iRankIndi!K15</f>
        <v>2</v>
      </c>
      <c r="C9" s="123">
        <f>iRankIndi!M15</f>
        <v>1</v>
      </c>
      <c r="D9" s="107" t="str">
        <f>iRankIndi!N15</f>
        <v>Stockholm</v>
      </c>
      <c r="E9" s="124" t="str">
        <f>TEXT(iRankIndi!Q15,iRankIndi!$AB$2)</f>
        <v/>
      </c>
      <c r="F9" s="125" t="str">
        <f>iRankIndi!P15</f>
        <v>|||||||||||||||||||||||||||||||||||||||||||||</v>
      </c>
      <c r="G9" s="126" t="str">
        <f>TEXT(iRankIndi!O15,iRankIndi!$AB$2)</f>
        <v>90.7</v>
      </c>
      <c r="H9" s="127"/>
      <c r="J9" s="134" t="str">
        <f>IF(iRankIndi!$B$9=0,"NOTE TO BE ADDED",iRankIndi!$B$9)</f>
        <v>Sub-category index score, weighted sum of the 9 indicator scores.
1) Prevalence of petty crime
2) Prevalence of violence crime
3) Criminal gang activity
4) Level of corruption in police force
5) Rate of drug use
6) Frequency of terrorist attacks
7) Gender safety
8) Perceptions of safety</v>
      </c>
    </row>
    <row r="10" ht="18" customHeight="1" spans="2:10">
      <c r="B10">
        <f>iRankIndi!K16</f>
        <v>2</v>
      </c>
      <c r="C10" s="128">
        <f>iRankIndi!M16</f>
        <v>2</v>
      </c>
      <c r="D10" s="129" t="str">
        <f>iRankIndi!N16</f>
        <v>Singapore</v>
      </c>
      <c r="E10" s="124" t="str">
        <f>TEXT(iRankIndi!Q16,iRankIndi!$AB$2)</f>
        <v/>
      </c>
      <c r="F10" s="130" t="str">
        <f>iRankIndi!P16</f>
        <v>|||||||||||||||||||||||||||||||||||||||||||</v>
      </c>
      <c r="G10" s="126" t="str">
        <f>TEXT(iRankIndi!O16,iRankIndi!$AB$2)</f>
        <v>86.1</v>
      </c>
      <c r="H10" s="127"/>
      <c r="J10" s="134"/>
    </row>
    <row r="11" ht="18" customHeight="1" spans="2:10">
      <c r="B11">
        <f>iRankIndi!K17</f>
        <v>2</v>
      </c>
      <c r="C11" s="128">
        <f>iRankIndi!M17</f>
        <v>3</v>
      </c>
      <c r="D11" s="129" t="str">
        <f>iRankIndi!N17</f>
        <v>Riyadh</v>
      </c>
      <c r="E11" s="124" t="str">
        <f>TEXT(iRankIndi!Q17,iRankIndi!$AB$2)</f>
        <v/>
      </c>
      <c r="F11" s="130" t="str">
        <f>iRankIndi!P17</f>
        <v>||||||||||||||||||||||||||||||||||||||||||</v>
      </c>
      <c r="G11" s="126" t="str">
        <f>TEXT(iRankIndi!O17,iRankIndi!$AB$2)</f>
        <v>85.5</v>
      </c>
      <c r="H11" s="127"/>
      <c r="J11" s="134"/>
    </row>
    <row r="12" ht="18" customHeight="1" spans="2:10">
      <c r="B12">
        <f>iRankIndi!K18</f>
        <v>2</v>
      </c>
      <c r="C12" s="128">
        <f>iRankIndi!M18</f>
        <v>4</v>
      </c>
      <c r="D12" s="129" t="str">
        <f>iRankIndi!N18</f>
        <v>Kuwait City</v>
      </c>
      <c r="E12" s="124" t="str">
        <f>TEXT(iRankIndi!Q18,iRankIndi!$AB$2)</f>
        <v/>
      </c>
      <c r="F12" s="130" t="str">
        <f>iRankIndi!P18</f>
        <v>||||||||||||||||||||||||||||||||||||||||||</v>
      </c>
      <c r="G12" s="126" t="str">
        <f>TEXT(iRankIndi!O18,iRankIndi!$AB$2)</f>
        <v>85.4</v>
      </c>
      <c r="H12" s="127"/>
      <c r="J12" s="134"/>
    </row>
    <row r="13" ht="18" customHeight="1" spans="2:10">
      <c r="B13">
        <f>iRankIndi!K19</f>
        <v>3</v>
      </c>
      <c r="C13" s="128">
        <f>iRankIndi!M19</f>
        <v>5</v>
      </c>
      <c r="D13" s="129" t="str">
        <f>iRankIndi!N19</f>
        <v>Abu Dhabi</v>
      </c>
      <c r="E13" s="124" t="str">
        <f>TEXT(iRankIndi!Q19,iRankIndi!$AB$2)</f>
        <v/>
      </c>
      <c r="F13" s="130" t="str">
        <f>iRankIndi!P19</f>
        <v>||||||||||||||||||||||||||||||||||||||||||</v>
      </c>
      <c r="G13" s="126" t="str">
        <f>TEXT(iRankIndi!O19,iRankIndi!$AB$2)</f>
        <v>84.8</v>
      </c>
      <c r="H13" s="127"/>
      <c r="J13" s="134"/>
    </row>
    <row r="14" ht="18" customHeight="1" spans="2:10">
      <c r="B14">
        <f>iRankIndi!K20</f>
        <v>2</v>
      </c>
      <c r="C14" s="128">
        <f>iRankIndi!M20</f>
        <v>6</v>
      </c>
      <c r="D14" s="129" t="str">
        <f>iRankIndi!N20</f>
        <v>Osaka</v>
      </c>
      <c r="E14" s="124" t="str">
        <f>TEXT(iRankIndi!Q20,iRankIndi!$AB$2)</f>
        <v/>
      </c>
      <c r="F14" s="130" t="str">
        <f>iRankIndi!P20</f>
        <v>||||||||||||||||||||||||||||||||||||||||||</v>
      </c>
      <c r="G14" s="126" t="str">
        <f>TEXT(iRankIndi!O20,iRankIndi!$AB$2)</f>
        <v>84.2</v>
      </c>
      <c r="H14" s="127"/>
      <c r="J14" s="134"/>
    </row>
    <row r="15" ht="18" customHeight="1" spans="2:10">
      <c r="B15">
        <f>iRankIndi!K21</f>
        <v>2</v>
      </c>
      <c r="C15" s="128">
        <f>iRankIndi!M21</f>
        <v>7</v>
      </c>
      <c r="D15" s="129" t="str">
        <f>iRankIndi!N21</f>
        <v>Tokyo</v>
      </c>
      <c r="E15" s="124" t="str">
        <f>TEXT(iRankIndi!Q21,iRankIndi!$AB$2)</f>
        <v/>
      </c>
      <c r="F15" s="130" t="str">
        <f>iRankIndi!P21</f>
        <v>|||||||||||||||||||||||||||||||||||||||||</v>
      </c>
      <c r="G15" s="126" t="str">
        <f>TEXT(iRankIndi!O21,iRankIndi!$AB$2)</f>
        <v>82.4</v>
      </c>
      <c r="H15" s="127"/>
      <c r="J15" s="134"/>
    </row>
    <row r="16" ht="18" customHeight="1" spans="2:10">
      <c r="B16">
        <f>iRankIndi!K22</f>
        <v>2</v>
      </c>
      <c r="C16" s="128">
        <f>iRankIndi!M22</f>
        <v>8</v>
      </c>
      <c r="D16" s="129" t="str">
        <f>iRankIndi!N22</f>
        <v>Zurich</v>
      </c>
      <c r="E16" s="124" t="str">
        <f>TEXT(iRankIndi!Q22,iRankIndi!$AB$2)</f>
        <v/>
      </c>
      <c r="F16" s="130" t="str">
        <f>iRankIndi!P22</f>
        <v>|||||||||||||||||||||||||||||||||||||||||</v>
      </c>
      <c r="G16" s="126" t="str">
        <f>TEXT(iRankIndi!O22,iRankIndi!$AB$2)</f>
        <v>82.1</v>
      </c>
      <c r="H16" s="127"/>
      <c r="J16" s="134"/>
    </row>
    <row r="17" ht="18" customHeight="1" spans="2:10">
      <c r="B17">
        <f>iRankIndi!K23</f>
        <v>2</v>
      </c>
      <c r="C17" s="128">
        <f>iRankIndi!M23</f>
        <v>9</v>
      </c>
      <c r="D17" s="129" t="str">
        <f>iRankIndi!N23</f>
        <v>Seoul</v>
      </c>
      <c r="E17" s="124" t="str">
        <f>TEXT(iRankIndi!Q23,iRankIndi!$AB$2)</f>
        <v/>
      </c>
      <c r="F17" s="130" t="str">
        <f>iRankIndi!P23</f>
        <v>||||||||||||||||||||||||||||||||||||||</v>
      </c>
      <c r="G17" s="126" t="str">
        <f>TEXT(iRankIndi!O23,iRankIndi!$AB$2)</f>
        <v>78.0</v>
      </c>
      <c r="H17" s="127"/>
      <c r="J17" s="134"/>
    </row>
    <row r="18" ht="18" customHeight="1" spans="2:10">
      <c r="B18">
        <f>iRankIndi!K24</f>
        <v>2</v>
      </c>
      <c r="C18" s="128">
        <f>iRankIndi!M24</f>
        <v>10</v>
      </c>
      <c r="D18" s="129" t="str">
        <f>iRankIndi!N24</f>
        <v>Hong Kong</v>
      </c>
      <c r="E18" s="124" t="str">
        <f>TEXT(iRankIndi!Q24,iRankIndi!$AB$2)</f>
        <v/>
      </c>
      <c r="F18" s="130" t="str">
        <f>iRankIndi!P24</f>
        <v>||||||||||||||||||||||||||||||||||||||</v>
      </c>
      <c r="G18" s="126" t="str">
        <f>TEXT(iRankIndi!O24,iRankIndi!$AB$2)</f>
        <v>77.6</v>
      </c>
      <c r="H18" s="127"/>
      <c r="J18" s="135" t="s">
        <v>1701</v>
      </c>
    </row>
    <row r="19" ht="18" customHeight="1" spans="2:10">
      <c r="B19">
        <f>iRankIndi!K25</f>
        <v>2</v>
      </c>
      <c r="C19" s="128">
        <f>iRankIndi!M25</f>
        <v>11</v>
      </c>
      <c r="D19" s="129" t="str">
        <f>iRankIndi!N25</f>
        <v>Taipei</v>
      </c>
      <c r="E19" s="124" t="str">
        <f>TEXT(iRankIndi!Q25,iRankIndi!$AB$2)</f>
        <v/>
      </c>
      <c r="F19" s="130" t="str">
        <f>iRankIndi!P25</f>
        <v>||||||||||||||||||||||||||||||||||||||</v>
      </c>
      <c r="G19" s="126" t="str">
        <f>TEXT(iRankIndi!O25,iRankIndi!$AB$2)</f>
        <v>76.8</v>
      </c>
      <c r="H19" s="127"/>
      <c r="J19" t="str">
        <f>iRankIndi!$B$6</f>
        <v>Weighted sum of underlying indicator scores;</v>
      </c>
    </row>
    <row r="20" ht="18" customHeight="1" spans="2:8">
      <c r="B20">
        <f>iRankIndi!K26</f>
        <v>2</v>
      </c>
      <c r="C20" s="128">
        <f>iRankIndi!M26</f>
        <v>12</v>
      </c>
      <c r="D20" s="129" t="str">
        <f>iRankIndi!N26</f>
        <v>Toronto</v>
      </c>
      <c r="E20" s="124" t="str">
        <f>TEXT(iRankIndi!Q26,iRankIndi!$AB$2)</f>
        <v/>
      </c>
      <c r="F20" s="130" t="str">
        <f>iRankIndi!P26</f>
        <v>||||||||||||||||||||||||||||||||||||||</v>
      </c>
      <c r="G20" s="126" t="str">
        <f>TEXT(iRankIndi!O26,iRankIndi!$AB$2)</f>
        <v>76.3</v>
      </c>
      <c r="H20" s="127"/>
    </row>
    <row r="21" ht="18" customHeight="1" spans="2:10">
      <c r="B21">
        <f>iRankIndi!K27</f>
        <v>2</v>
      </c>
      <c r="C21" s="128">
        <f>iRankIndi!M27</f>
        <v>13</v>
      </c>
      <c r="D21" s="129" t="str">
        <f>iRankIndi!N27</f>
        <v>Moscow</v>
      </c>
      <c r="E21" s="124" t="str">
        <f>TEXT(iRankIndi!Q27,iRankIndi!$AB$2)</f>
        <v/>
      </c>
      <c r="F21" s="130" t="str">
        <f>iRankIndi!P27</f>
        <v>||||||||||||||||||||||||||||||||||||||</v>
      </c>
      <c r="G21" s="126" t="str">
        <f>TEXT(iRankIndi!O27,iRankIndi!$AB$2)</f>
        <v>76.0</v>
      </c>
      <c r="H21" s="127"/>
      <c r="J21" s="21" t="s">
        <v>1702</v>
      </c>
    </row>
    <row r="22" ht="18" customHeight="1" spans="2:10">
      <c r="B22">
        <f>iRankIndi!K28</f>
        <v>2</v>
      </c>
      <c r="C22" s="128">
        <f>iRankIndi!M28</f>
        <v>14</v>
      </c>
      <c r="D22" s="129" t="str">
        <f>iRankIndi!N28</f>
        <v>Ho Chi Minh</v>
      </c>
      <c r="E22" s="124" t="str">
        <f>TEXT(iRankIndi!Q28,iRankIndi!$AB$2)</f>
        <v/>
      </c>
      <c r="F22" s="130" t="str">
        <f>iRankIndi!P28</f>
        <v>|||||||||||||||||||||||||||||||||||||</v>
      </c>
      <c r="G22" s="126" t="str">
        <f>TEXT(iRankIndi!O28,iRankIndi!$AB$2)</f>
        <v>74.1</v>
      </c>
      <c r="H22" s="127"/>
      <c r="J22" t="str">
        <f>iRankIndi!$B$8</f>
        <v>EIU Calculation</v>
      </c>
    </row>
    <row r="23" ht="18" customHeight="1" spans="2:10">
      <c r="B23">
        <f>iRankIndi!K29</f>
        <v>2</v>
      </c>
      <c r="C23" s="128">
        <f>iRankIndi!M29</f>
        <v>15</v>
      </c>
      <c r="D23" s="129" t="str">
        <f>iRankIndi!N29</f>
        <v>Brussels</v>
      </c>
      <c r="E23" s="124" t="str">
        <f>TEXT(iRankIndi!Q29,iRankIndi!$AB$2)</f>
        <v/>
      </c>
      <c r="F23" s="130" t="str">
        <f>iRankIndi!P29</f>
        <v>||||||||||||||||||||||||||||||||||||</v>
      </c>
      <c r="G23" s="126" t="str">
        <f>TEXT(iRankIndi!O29,iRankIndi!$AB$2)</f>
        <v>73.2</v>
      </c>
      <c r="H23" s="127"/>
      <c r="J23" s="136"/>
    </row>
    <row r="24" ht="18" customHeight="1" spans="2:10">
      <c r="B24">
        <f>iRankIndi!K30</f>
        <v>2</v>
      </c>
      <c r="C24" s="128">
        <f>iRankIndi!M30</f>
        <v>16</v>
      </c>
      <c r="D24" s="129" t="str">
        <f>iRankIndi!N30</f>
        <v>Amsterdam</v>
      </c>
      <c r="E24" s="124" t="str">
        <f>TEXT(iRankIndi!Q30,iRankIndi!$AB$2)</f>
        <v/>
      </c>
      <c r="F24" s="130" t="str">
        <f>iRankIndi!P30</f>
        <v>||||||||||||||||||||||||||||||||||||</v>
      </c>
      <c r="G24" s="126" t="str">
        <f>TEXT(iRankIndi!O30,iRankIndi!$AB$2)</f>
        <v>72.4</v>
      </c>
      <c r="H24" s="127"/>
      <c r="J24" s="136"/>
    </row>
    <row r="25" ht="18" customHeight="1" spans="2:10">
      <c r="B25">
        <f>iRankIndi!K31</f>
        <v>2</v>
      </c>
      <c r="C25" s="128">
        <f>iRankIndi!M31</f>
        <v>17</v>
      </c>
      <c r="D25" s="129" t="str">
        <f>iRankIndi!N31</f>
        <v>Montreal</v>
      </c>
      <c r="E25" s="124" t="str">
        <f>TEXT(iRankIndi!Q31,iRankIndi!$AB$2)</f>
        <v/>
      </c>
      <c r="F25" s="130" t="str">
        <f>iRankIndi!P31</f>
        <v>||||||||||||||||||||||||||||||||||||</v>
      </c>
      <c r="G25" s="126" t="str">
        <f>TEXT(iRankIndi!O31,iRankIndi!$AB$2)</f>
        <v>72.2</v>
      </c>
      <c r="H25" s="127"/>
      <c r="J25" s="136"/>
    </row>
    <row r="26" ht="18" customHeight="1" spans="2:10">
      <c r="B26">
        <f>iRankIndi!K32</f>
        <v>2</v>
      </c>
      <c r="C26" s="128" t="str">
        <f>iRankIndi!M32</f>
        <v>=18</v>
      </c>
      <c r="D26" s="129" t="str">
        <f>iRankIndi!N32</f>
        <v>Mumbai</v>
      </c>
      <c r="E26" s="124" t="str">
        <f>TEXT(iRankIndi!Q32,iRankIndi!$AB$2)</f>
        <v/>
      </c>
      <c r="F26" s="130" t="str">
        <f>iRankIndi!P32</f>
        <v>|||||||||||||||||||||||||||||||||||</v>
      </c>
      <c r="G26" s="126" t="str">
        <f>TEXT(iRankIndi!O32,iRankIndi!$AB$2)</f>
        <v>72.0</v>
      </c>
      <c r="H26" s="127"/>
      <c r="J26" s="136"/>
    </row>
    <row r="27" ht="18" customHeight="1" spans="2:10">
      <c r="B27">
        <f>iRankIndi!K33</f>
        <v>2</v>
      </c>
      <c r="C27" s="131" t="str">
        <f>iRankIndi!M33</f>
        <v>=18</v>
      </c>
      <c r="D27" s="132" t="str">
        <f>iRankIndi!N33</f>
        <v>Frankfurt</v>
      </c>
      <c r="E27" s="124" t="str">
        <f>TEXT(iRankIndi!Q33,iRankIndi!$AB$2)</f>
        <v/>
      </c>
      <c r="F27" s="133" t="str">
        <f>iRankIndi!P33</f>
        <v>|||||||||||||||||||||||||||||||||||</v>
      </c>
      <c r="G27" s="126" t="str">
        <f>TEXT(iRankIndi!O33,iRankIndi!$AB$2)</f>
        <v>72.0</v>
      </c>
      <c r="H27" s="127"/>
      <c r="J27" s="136"/>
    </row>
    <row r="28" ht="18" customHeight="1" spans="2:10">
      <c r="B28">
        <f>iRankIndi!K34</f>
        <v>4</v>
      </c>
      <c r="C28" s="131">
        <f>iRankIndi!M34</f>
        <v>20</v>
      </c>
      <c r="D28" s="132" t="str">
        <f>iRankIndi!N34</f>
        <v>Doha</v>
      </c>
      <c r="E28" s="124" t="str">
        <f>TEXT(iRankIndi!Q34,iRankIndi!$AB$2)</f>
        <v/>
      </c>
      <c r="F28" s="133" t="str">
        <f>iRankIndi!P34</f>
        <v>|||||||||||||||||||||||||||||||||||</v>
      </c>
      <c r="G28" s="126" t="str">
        <f>TEXT(iRankIndi!O34,iRankIndi!$AB$2)</f>
        <v>71.6</v>
      </c>
      <c r="H28" s="127"/>
      <c r="J28" s="136"/>
    </row>
    <row r="29" ht="18" customHeight="1" spans="2:8">
      <c r="B29">
        <f>iRankIndi!K35</f>
        <v>2</v>
      </c>
      <c r="C29" s="131">
        <f>iRankIndi!M35</f>
        <v>21</v>
      </c>
      <c r="D29" s="132" t="str">
        <f>iRankIndi!N35</f>
        <v>Melbourne</v>
      </c>
      <c r="E29" s="124" t="str">
        <f>TEXT(iRankIndi!Q35,iRankIndi!$AB$2)</f>
        <v/>
      </c>
      <c r="F29" s="133" t="str">
        <f>iRankIndi!P35</f>
        <v>|||||||||||||||||||||||||||||||||||</v>
      </c>
      <c r="G29" s="126" t="str">
        <f>TEXT(iRankIndi!O35,iRankIndi!$AB$2)</f>
        <v>70.4</v>
      </c>
      <c r="H29" s="127"/>
    </row>
    <row r="30" ht="18" customHeight="1" spans="2:8">
      <c r="B30">
        <f>iRankIndi!K36</f>
        <v>2</v>
      </c>
      <c r="C30" s="131">
        <f>iRankIndi!M36</f>
        <v>22</v>
      </c>
      <c r="D30" s="132" t="str">
        <f>iRankIndi!N36</f>
        <v>Delhi</v>
      </c>
      <c r="E30" s="124" t="str">
        <f>TEXT(iRankIndi!Q36,iRankIndi!$AB$2)</f>
        <v/>
      </c>
      <c r="F30" s="133" t="str">
        <f>iRankIndi!P36</f>
        <v>|||||||||||||||||||||||||||||||||||</v>
      </c>
      <c r="G30" s="126" t="str">
        <f>TEXT(iRankIndi!O36,iRankIndi!$AB$2)</f>
        <v>70.2</v>
      </c>
      <c r="H30" s="127"/>
    </row>
    <row r="31" ht="18" customHeight="1" spans="2:8">
      <c r="B31">
        <f>iRankIndi!K37</f>
        <v>2</v>
      </c>
      <c r="C31" s="131">
        <f>iRankIndi!M37</f>
        <v>23</v>
      </c>
      <c r="D31" s="132" t="str">
        <f>iRankIndi!N37</f>
        <v>Paris</v>
      </c>
      <c r="E31" s="124" t="str">
        <f>TEXT(iRankIndi!Q37,iRankIndi!$AB$2)</f>
        <v/>
      </c>
      <c r="F31" s="133" t="str">
        <f>iRankIndi!P37</f>
        <v>||||||||||||||||||||||||||||||||||</v>
      </c>
      <c r="G31" s="126" t="str">
        <f>TEXT(iRankIndi!O37,iRankIndi!$AB$2)</f>
        <v>69.5</v>
      </c>
      <c r="H31" s="127"/>
    </row>
    <row r="32" ht="18" customHeight="1" spans="2:8">
      <c r="B32">
        <f>iRankIndi!K38</f>
        <v>2</v>
      </c>
      <c r="C32" s="131">
        <f>iRankIndi!M38</f>
        <v>24</v>
      </c>
      <c r="D32" s="132" t="str">
        <f>iRankIndi!N38</f>
        <v>Lima</v>
      </c>
      <c r="E32" s="124" t="str">
        <f>TEXT(iRankIndi!Q38,iRankIndi!$AB$2)</f>
        <v/>
      </c>
      <c r="F32" s="133" t="str">
        <f>iRankIndi!P38</f>
        <v>||||||||||||||||||||||||||||||||||</v>
      </c>
      <c r="G32" s="126" t="str">
        <f>TEXT(iRankIndi!O38,iRankIndi!$AB$2)</f>
        <v>69.1</v>
      </c>
      <c r="H32" s="127"/>
    </row>
    <row r="33" ht="15.75" spans="2:7">
      <c r="B33">
        <f>iRankIndi!K39</f>
        <v>2</v>
      </c>
      <c r="C33" s="131">
        <f>iRankIndi!M39</f>
        <v>25</v>
      </c>
      <c r="D33" s="132" t="str">
        <f>iRankIndi!N39</f>
        <v>Tianjin</v>
      </c>
      <c r="E33" s="124" t="str">
        <f>TEXT(iRankIndi!Q39,iRankIndi!$AB$2)</f>
        <v/>
      </c>
      <c r="F33" s="133" t="str">
        <f>iRankIndi!P39</f>
        <v>||||||||||||||||||||||||||||||||||</v>
      </c>
      <c r="G33" s="126" t="str">
        <f>TEXT(iRankIndi!O39,iRankIndi!$AB$2)</f>
        <v>68.5</v>
      </c>
    </row>
    <row r="34" ht="15.75" spans="2:7">
      <c r="B34">
        <f>iRankIndi!K40</f>
        <v>2</v>
      </c>
      <c r="C34" s="131">
        <f>iRankIndi!M40</f>
        <v>26</v>
      </c>
      <c r="D34" s="132" t="str">
        <f>iRankIndi!N40</f>
        <v>Milan</v>
      </c>
      <c r="E34" s="124" t="str">
        <f>TEXT(iRankIndi!Q40,iRankIndi!$AB$2)</f>
        <v/>
      </c>
      <c r="F34" s="133" t="str">
        <f>iRankIndi!P40</f>
        <v>||||||||||||||||||||||||||||||||||</v>
      </c>
      <c r="G34" s="126" t="str">
        <f>TEXT(iRankIndi!O40,iRankIndi!$AB$2)</f>
        <v>68.4</v>
      </c>
    </row>
    <row r="35" ht="15.75" spans="2:7">
      <c r="B35">
        <f>iRankIndi!K41</f>
        <v>2</v>
      </c>
      <c r="C35" s="131">
        <f>iRankIndi!M41</f>
        <v>27</v>
      </c>
      <c r="D35" s="132" t="str">
        <f>iRankIndi!N41</f>
        <v>Istanbul</v>
      </c>
      <c r="E35" s="124" t="str">
        <f>TEXT(iRankIndi!Q41,iRankIndi!$AB$2)</f>
        <v/>
      </c>
      <c r="F35" s="133" t="str">
        <f>iRankIndi!P41</f>
        <v>|||||||||||||||||||||||||||||||||</v>
      </c>
      <c r="G35" s="126" t="str">
        <f>TEXT(iRankIndi!O41,iRankIndi!$AB$2)</f>
        <v>67.6</v>
      </c>
    </row>
    <row r="36" ht="15.75" spans="2:7">
      <c r="B36">
        <f>iRankIndi!K42</f>
        <v>2</v>
      </c>
      <c r="C36" s="131">
        <f>iRankIndi!M42</f>
        <v>28</v>
      </c>
      <c r="D36" s="132" t="str">
        <f>iRankIndi!N42</f>
        <v>Shenzhen</v>
      </c>
      <c r="E36" s="124" t="str">
        <f>TEXT(iRankIndi!Q42,iRankIndi!$AB$2)</f>
        <v/>
      </c>
      <c r="F36" s="133" t="str">
        <f>iRankIndi!P42</f>
        <v>|||||||||||||||||||||||||||||||||</v>
      </c>
      <c r="G36" s="126" t="str">
        <f>TEXT(iRankIndi!O42,iRankIndi!$AB$2)</f>
        <v>67.5</v>
      </c>
    </row>
    <row r="37" ht="15.75" spans="2:7">
      <c r="B37">
        <f>iRankIndi!K43</f>
        <v>2</v>
      </c>
      <c r="C37" s="131">
        <f>iRankIndi!M43</f>
        <v>29</v>
      </c>
      <c r="D37" s="132" t="str">
        <f>iRankIndi!N43</f>
        <v>Bangkok</v>
      </c>
      <c r="E37" s="124" t="str">
        <f>TEXT(iRankIndi!Q43,iRankIndi!$AB$2)</f>
        <v/>
      </c>
      <c r="F37" s="133" t="str">
        <f>iRankIndi!P43</f>
        <v>|||||||||||||||||||||||||||||||||</v>
      </c>
      <c r="G37" s="126" t="str">
        <f>TEXT(iRankIndi!O43,iRankIndi!$AB$2)</f>
        <v>67.2</v>
      </c>
    </row>
    <row r="38" ht="15.75" spans="2:7">
      <c r="B38">
        <f>iRankIndi!K44</f>
        <v>2</v>
      </c>
      <c r="C38" s="131">
        <f>iRankIndi!M44</f>
        <v>30</v>
      </c>
      <c r="D38" s="132" t="str">
        <f>iRankIndi!N44</f>
        <v>Tehran</v>
      </c>
      <c r="E38" s="124" t="str">
        <f>TEXT(iRankIndi!Q44,iRankIndi!$AB$2)</f>
        <v/>
      </c>
      <c r="F38" s="133" t="str">
        <f>iRankIndi!P44</f>
        <v>|||||||||||||||||||||||||||||||||</v>
      </c>
      <c r="G38" s="126" t="str">
        <f>TEXT(iRankIndi!O44,iRankIndi!$AB$2)</f>
        <v>66.5</v>
      </c>
    </row>
    <row r="39" ht="15.75" spans="2:7">
      <c r="B39">
        <f>iRankIndi!K45</f>
        <v>2</v>
      </c>
      <c r="C39" s="131">
        <f>iRankIndi!M45</f>
        <v>31</v>
      </c>
      <c r="D39" s="132" t="str">
        <f>iRankIndi!N45</f>
        <v>Sydney</v>
      </c>
      <c r="E39" s="124" t="str">
        <f>TEXT(iRankIndi!Q45,iRankIndi!$AB$2)</f>
        <v/>
      </c>
      <c r="F39" s="133" t="str">
        <f>iRankIndi!P45</f>
        <v>||||||||||||||||||||||||||||||||</v>
      </c>
      <c r="G39" s="126" t="str">
        <f>TEXT(iRankIndi!O45,iRankIndi!$AB$2)</f>
        <v>65.8</v>
      </c>
    </row>
    <row r="40" ht="15.75" spans="2:7">
      <c r="B40">
        <f>iRankIndi!K46</f>
        <v>2</v>
      </c>
      <c r="C40" s="131">
        <f>iRankIndi!M46</f>
        <v>32</v>
      </c>
      <c r="D40" s="132" t="str">
        <f>iRankIndi!N46</f>
        <v>Barcelona</v>
      </c>
      <c r="E40" s="124" t="str">
        <f>TEXT(iRankIndi!Q46,iRankIndi!$AB$2)</f>
        <v/>
      </c>
      <c r="F40" s="133" t="str">
        <f>iRankIndi!P46</f>
        <v>||||||||||||||||||||||||||||||||</v>
      </c>
      <c r="G40" s="126" t="str">
        <f>TEXT(iRankIndi!O46,iRankIndi!$AB$2)</f>
        <v>65.3</v>
      </c>
    </row>
    <row r="41" ht="15.75" spans="2:7">
      <c r="B41">
        <f>iRankIndi!K47</f>
        <v>2</v>
      </c>
      <c r="C41" s="131">
        <f>iRankIndi!M47</f>
        <v>33</v>
      </c>
      <c r="D41" s="132" t="str">
        <f>iRankIndi!N47</f>
        <v>Shanghai</v>
      </c>
      <c r="E41" s="124" t="str">
        <f>TEXT(iRankIndi!Q47,iRankIndi!$AB$2)</f>
        <v/>
      </c>
      <c r="F41" s="133" t="str">
        <f>iRankIndi!P47</f>
        <v>||||||||||||||||||||||||||||||||</v>
      </c>
      <c r="G41" s="126" t="str">
        <f>TEXT(iRankIndi!O47,iRankIndi!$AB$2)</f>
        <v>64.6</v>
      </c>
    </row>
    <row r="42" ht="15.75" spans="2:7">
      <c r="B42">
        <f>iRankIndi!K48</f>
        <v>2</v>
      </c>
      <c r="C42" s="131">
        <f>iRankIndi!M48</f>
        <v>34</v>
      </c>
      <c r="D42" s="132" t="str">
        <f>iRankIndi!N48</f>
        <v>Sao Paulo</v>
      </c>
      <c r="E42" s="124" t="str">
        <f>TEXT(iRankIndi!Q48,iRankIndi!$AB$2)</f>
        <v/>
      </c>
      <c r="F42" s="133" t="str">
        <f>iRankIndi!P48</f>
        <v>|||||||||||||||||||||||||||||||</v>
      </c>
      <c r="G42" s="126" t="str">
        <f>TEXT(iRankIndi!O48,iRankIndi!$AB$2)</f>
        <v>63.1</v>
      </c>
    </row>
    <row r="43" ht="15.75" spans="2:7">
      <c r="B43">
        <f>iRankIndi!K49</f>
        <v>2</v>
      </c>
      <c r="C43" s="131">
        <f>iRankIndi!M49</f>
        <v>35</v>
      </c>
      <c r="D43" s="132" t="str">
        <f>iRankIndi!N49</f>
        <v>Rome</v>
      </c>
      <c r="E43" s="124" t="str">
        <f>TEXT(iRankIndi!Q49,iRankIndi!$AB$2)</f>
        <v/>
      </c>
      <c r="F43" s="133" t="str">
        <f>iRankIndi!P49</f>
        <v>|||||||||||||||||||||||||||||||</v>
      </c>
      <c r="G43" s="126" t="str">
        <f>TEXT(iRankIndi!O49,iRankIndi!$AB$2)</f>
        <v>62.8</v>
      </c>
    </row>
    <row r="44" ht="15.75" spans="2:7">
      <c r="B44">
        <f>iRankIndi!K50</f>
        <v>2</v>
      </c>
      <c r="C44" s="131">
        <f>iRankIndi!M50</f>
        <v>36</v>
      </c>
      <c r="D44" s="132" t="str">
        <f>iRankIndi!N50</f>
        <v>Guangzhou</v>
      </c>
      <c r="E44" s="124" t="str">
        <f>TEXT(iRankIndi!Q50,iRankIndi!$AB$2)</f>
        <v/>
      </c>
      <c r="F44" s="133" t="str">
        <f>iRankIndi!P50</f>
        <v>|||||||||||||||||||||||||||||||</v>
      </c>
      <c r="G44" s="126" t="str">
        <f>TEXT(iRankIndi!O50,iRankIndi!$AB$2)</f>
        <v>62.3</v>
      </c>
    </row>
    <row r="45" ht="15.75" spans="2:7">
      <c r="B45">
        <f>iRankIndi!K51</f>
        <v>2</v>
      </c>
      <c r="C45" s="131">
        <f>iRankIndi!M51</f>
        <v>37</v>
      </c>
      <c r="D45" s="132" t="str">
        <f>iRankIndi!N51</f>
        <v>Jakarta</v>
      </c>
      <c r="E45" s="124" t="str">
        <f>TEXT(iRankIndi!Q51,iRankIndi!$AB$2)</f>
        <v/>
      </c>
      <c r="F45" s="133" t="str">
        <f>iRankIndi!P51</f>
        <v>|||||||||||||||||||||||||||||||</v>
      </c>
      <c r="G45" s="126" t="str">
        <f>TEXT(iRankIndi!O51,iRankIndi!$AB$2)</f>
        <v>62.3</v>
      </c>
    </row>
    <row r="46" ht="15.75" spans="2:7">
      <c r="B46">
        <f>iRankIndi!K52</f>
        <v>2</v>
      </c>
      <c r="C46" s="131">
        <f>iRankIndi!M52</f>
        <v>38</v>
      </c>
      <c r="D46" s="132" t="str">
        <f>iRankIndi!N52</f>
        <v>Beijing </v>
      </c>
      <c r="E46" s="124" t="str">
        <f>TEXT(iRankIndi!Q52,iRankIndi!$AB$2)</f>
        <v/>
      </c>
      <c r="F46" s="133" t="str">
        <f>iRankIndi!P52</f>
        <v>||||||||||||||||||||||||||||||</v>
      </c>
      <c r="G46" s="126" t="str">
        <f>TEXT(iRankIndi!O52,iRankIndi!$AB$2)</f>
        <v>61.7</v>
      </c>
    </row>
    <row r="47" ht="15.75" spans="2:7">
      <c r="B47">
        <f>iRankIndi!K53</f>
        <v>2</v>
      </c>
      <c r="C47" s="131">
        <f>iRankIndi!M53</f>
        <v>39</v>
      </c>
      <c r="D47" s="132" t="str">
        <f>iRankIndi!N53</f>
        <v>Madrid</v>
      </c>
      <c r="E47" s="124" t="str">
        <f>TEXT(iRankIndi!Q53,iRankIndi!$AB$2)</f>
        <v/>
      </c>
      <c r="F47" s="133" t="str">
        <f>iRankIndi!P53</f>
        <v>||||||||||||||||||||||||||||||</v>
      </c>
      <c r="G47" s="126" t="str">
        <f>TEXT(iRankIndi!O53,iRankIndi!$AB$2)</f>
        <v>61.6</v>
      </c>
    </row>
    <row r="48" ht="15.75" spans="2:7">
      <c r="B48">
        <f>iRankIndi!K54</f>
        <v>2</v>
      </c>
      <c r="C48" s="131">
        <f>iRankIndi!M54</f>
        <v>40</v>
      </c>
      <c r="D48" s="132" t="str">
        <f>iRankIndi!N54</f>
        <v>London</v>
      </c>
      <c r="E48" s="124" t="str">
        <f>TEXT(iRankIndi!Q54,iRankIndi!$AB$2)</f>
        <v/>
      </c>
      <c r="F48" s="133" t="str">
        <f>iRankIndi!P54</f>
        <v>||||||||||||||||||||||||||||||</v>
      </c>
      <c r="G48" s="126" t="str">
        <f>TEXT(iRankIndi!O54,iRankIndi!$AB$2)</f>
        <v>61.4</v>
      </c>
    </row>
    <row r="49" ht="15.75" spans="2:7">
      <c r="B49">
        <f>iRankIndi!K55</f>
        <v>2</v>
      </c>
      <c r="C49" s="131">
        <f>iRankIndi!M55</f>
        <v>41</v>
      </c>
      <c r="D49" s="132" t="str">
        <f>iRankIndi!N55</f>
        <v>Rio de Janeiro</v>
      </c>
      <c r="E49" s="124" t="str">
        <f>TEXT(iRankIndi!Q55,iRankIndi!$AB$2)</f>
        <v/>
      </c>
      <c r="F49" s="133" t="str">
        <f>iRankIndi!P55</f>
        <v>||||||||||||||||||||||||||||||</v>
      </c>
      <c r="G49" s="126" t="str">
        <f>TEXT(iRankIndi!O55,iRankIndi!$AB$2)</f>
        <v>61.3</v>
      </c>
    </row>
    <row r="50" ht="15.75" spans="2:7">
      <c r="B50">
        <f>iRankIndi!K56</f>
        <v>2</v>
      </c>
      <c r="C50" s="131">
        <f>iRankIndi!M56</f>
        <v>42</v>
      </c>
      <c r="D50" s="132" t="str">
        <f>iRankIndi!N56</f>
        <v>Buenos Aires</v>
      </c>
      <c r="E50" s="124" t="str">
        <f>TEXT(iRankIndi!Q56,iRankIndi!$AB$2)</f>
        <v/>
      </c>
      <c r="F50" s="133" t="str">
        <f>iRankIndi!P56</f>
        <v>|||||||||||||||||||||||||||||</v>
      </c>
      <c r="G50" s="126" t="str">
        <f>TEXT(iRankIndi!O56,iRankIndi!$AB$2)</f>
        <v>58.5</v>
      </c>
    </row>
    <row r="51" ht="15.75" spans="2:7">
      <c r="B51">
        <f>iRankIndi!K57</f>
        <v>2</v>
      </c>
      <c r="C51" s="131">
        <f>iRankIndi!M57</f>
        <v>43</v>
      </c>
      <c r="D51" s="132" t="str">
        <f>iRankIndi!N57</f>
        <v>Santiago</v>
      </c>
      <c r="E51" s="124" t="str">
        <f>TEXT(iRankIndi!Q57,iRankIndi!$AB$2)</f>
        <v/>
      </c>
      <c r="F51" s="133" t="str">
        <f>iRankIndi!P57</f>
        <v>|||||||||||||||||||||||||||</v>
      </c>
      <c r="G51" s="126" t="str">
        <f>TEXT(iRankIndi!O57,iRankIndi!$AB$2)</f>
        <v>55.7</v>
      </c>
    </row>
    <row r="52" ht="15.75" spans="2:7">
      <c r="B52">
        <f>iRankIndi!K58</f>
        <v>2</v>
      </c>
      <c r="C52" s="131">
        <f>iRankIndi!M58</f>
        <v>44</v>
      </c>
      <c r="D52" s="132" t="str">
        <f>iRankIndi!N58</f>
        <v>San Francisco</v>
      </c>
      <c r="E52" s="124" t="str">
        <f>TEXT(iRankIndi!Q58,iRankIndi!$AB$2)</f>
        <v/>
      </c>
      <c r="F52" s="133" t="str">
        <f>iRankIndi!P58</f>
        <v>|||||||||||||||||||||||||||</v>
      </c>
      <c r="G52" s="126" t="str">
        <f>TEXT(iRankIndi!O58,iRankIndi!$AB$2)</f>
        <v>55.4</v>
      </c>
    </row>
    <row r="53" ht="15.75" spans="2:7">
      <c r="B53">
        <f>iRankIndi!K59</f>
        <v>2</v>
      </c>
      <c r="C53" s="131">
        <f>iRankIndi!M59</f>
        <v>45</v>
      </c>
      <c r="D53" s="132" t="str">
        <f>iRankIndi!N59</f>
        <v>Johannesburg</v>
      </c>
      <c r="E53" s="124" t="str">
        <f>TEXT(iRankIndi!Q59,iRankIndi!$AB$2)</f>
        <v/>
      </c>
      <c r="F53" s="133" t="str">
        <f>iRankIndi!P59</f>
        <v>|||||||||||||||||||||||||||</v>
      </c>
      <c r="G53" s="126" t="str">
        <f>TEXT(iRankIndi!O59,iRankIndi!$AB$2)</f>
        <v>55.0</v>
      </c>
    </row>
    <row r="54" ht="15.75" spans="2:7">
      <c r="B54">
        <f>iRankIndi!K60</f>
        <v>2</v>
      </c>
      <c r="C54" s="131">
        <f>iRankIndi!M60</f>
        <v>46</v>
      </c>
      <c r="D54" s="132" t="str">
        <f>iRankIndi!N60</f>
        <v>Washington DC</v>
      </c>
      <c r="E54" s="124" t="str">
        <f>TEXT(iRankIndi!Q60,iRankIndi!$AB$2)</f>
        <v/>
      </c>
      <c r="F54" s="133" t="str">
        <f>iRankIndi!P60</f>
        <v>||||||||||||||||||||||||||</v>
      </c>
      <c r="G54" s="126" t="str">
        <f>TEXT(iRankIndi!O60,iRankIndi!$AB$2)</f>
        <v>52.9</v>
      </c>
    </row>
    <row r="55" ht="15.75" spans="2:7">
      <c r="B55">
        <f>iRankIndi!K61</f>
        <v>2</v>
      </c>
      <c r="C55" s="131">
        <f>iRankIndi!M61</f>
        <v>47</v>
      </c>
      <c r="D55" s="132" t="str">
        <f>iRankIndi!N61</f>
        <v>Los Angeles</v>
      </c>
      <c r="E55" s="124" t="str">
        <f>TEXT(iRankIndi!Q61,iRankIndi!$AB$2)</f>
        <v/>
      </c>
      <c r="F55" s="133" t="str">
        <f>iRankIndi!P61</f>
        <v>||||||||||||||||||||||||||</v>
      </c>
      <c r="G55" s="126" t="str">
        <f>TEXT(iRankIndi!O61,iRankIndi!$AB$2)</f>
        <v>52.8</v>
      </c>
    </row>
    <row r="56" ht="15.75" spans="2:7">
      <c r="B56">
        <f>iRankIndi!K62</f>
        <v>2</v>
      </c>
      <c r="C56" s="131">
        <f>iRankIndi!M62</f>
        <v>48</v>
      </c>
      <c r="D56" s="132" t="str">
        <f>iRankIndi!N62</f>
        <v>Chicago</v>
      </c>
      <c r="E56" s="124" t="str">
        <f>TEXT(iRankIndi!Q62,iRankIndi!$AB$2)</f>
        <v/>
      </c>
      <c r="F56" s="133" t="str">
        <f>iRankIndi!P62</f>
        <v>||||||||||||||||||||||||||</v>
      </c>
      <c r="G56" s="126" t="str">
        <f>TEXT(iRankIndi!O62,iRankIndi!$AB$2)</f>
        <v>52.8</v>
      </c>
    </row>
    <row r="57" ht="15.75" spans="2:7">
      <c r="B57">
        <f>iRankIndi!K63</f>
        <v>2</v>
      </c>
      <c r="C57" s="131">
        <f>iRankIndi!M63</f>
        <v>49</v>
      </c>
      <c r="D57" s="132" t="str">
        <f>iRankIndi!N63</f>
        <v>Mexico City</v>
      </c>
      <c r="E57" s="124" t="str">
        <f>TEXT(iRankIndi!Q63,iRankIndi!$AB$2)</f>
        <v/>
      </c>
      <c r="F57" s="133" t="str">
        <f>iRankIndi!P63</f>
        <v>||||||||||||||||||||||||||</v>
      </c>
      <c r="G57" s="126" t="str">
        <f>TEXT(iRankIndi!O63,iRankIndi!$AB$2)</f>
        <v>52.2</v>
      </c>
    </row>
    <row r="58" ht="15.75" spans="2:7">
      <c r="B58">
        <f>iRankIndi!K64</f>
        <v>2</v>
      </c>
      <c r="C58" s="131">
        <f>iRankIndi!M64</f>
        <v>50</v>
      </c>
      <c r="D58" s="132" t="str">
        <f>iRankIndi!N64</f>
        <v>New York</v>
      </c>
      <c r="E58" s="124" t="str">
        <f>TEXT(iRankIndi!Q64,iRankIndi!$AB$2)</f>
        <v/>
      </c>
      <c r="F58" s="133" t="str">
        <f>iRankIndi!P64</f>
        <v>|||||||||||||||||||||||||</v>
      </c>
      <c r="G58" s="126" t="str">
        <f>TEXT(iRankIndi!O64,iRankIndi!$AB$2)</f>
        <v>50.1</v>
      </c>
    </row>
  </sheetData>
  <sheetProtection password="EAE8" sheet="1" selectLockedCells="1" selectUnlockedCells="1" objects="1" scenarios="1"/>
  <mergeCells count="1">
    <mergeCell ref="J9:J17"/>
  </mergeCells>
  <conditionalFormatting sqref="C9:G58">
    <cfRule type="expression" dxfId="0" priority="1">
      <formula>$B9=0</formula>
    </cfRule>
    <cfRule type="expression" dxfId="3" priority="2">
      <formula>$B9=1</formula>
    </cfRule>
    <cfRule type="expression" dxfId="2" priority="3">
      <formula>$B9=3</formula>
    </cfRule>
  </conditionalFormatting>
  <pageMargins left="0.708661417322835" right="0.708661417322835" top="0.748031496062992" bottom="0.748031496062992" header="0.31496062992126" footer="0.31496062992126"/>
  <pageSetup paperSize="1" scale="57" orientation="landscape"/>
  <headerFooter>
    <oddHeader>&amp;R&amp;"Calibri,Regular"&amp;10&amp;K808080EIU SAFE CITY INDEX 2014</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586803" name="cnt_Indicator" r:id="rId3">
              <controlPr print="0" defaultSize="0">
                <anchor>
                  <from>
                    <xdr:col>0</xdr:col>
                    <xdr:colOff>123825</xdr:colOff>
                    <xdr:row>2</xdr:row>
                    <xdr:rowOff>228600</xdr:rowOff>
                  </from>
                  <to>
                    <xdr:col>7</xdr:col>
                    <xdr:colOff>285750</xdr:colOff>
                    <xdr:row>2</xdr:row>
                    <xdr:rowOff>428625</xdr:rowOff>
                  </to>
                </anchor>
              </controlPr>
            </control>
          </mc:Choice>
        </mc:AlternateContent>
        <mc:AlternateContent xmlns:mc="http://schemas.openxmlformats.org/markup-compatibility/2006">
          <mc:Choice Requires="x14">
            <control shapeId="586804" name="cnt_Country_Highlight" r:id="rId4">
              <controlPr print="0" defaultSize="0">
                <anchor>
                  <from>
                    <xdr:col>7</xdr:col>
                    <xdr:colOff>419100</xdr:colOff>
                    <xdr:row>2</xdr:row>
                    <xdr:rowOff>228600</xdr:rowOff>
                  </from>
                  <to>
                    <xdr:col>9</xdr:col>
                    <xdr:colOff>76200</xdr:colOff>
                    <xdr:row>2</xdr:row>
                    <xdr:rowOff>428625</xdr:rowOff>
                  </to>
                </anchor>
              </controlPr>
            </control>
          </mc:Choice>
        </mc:AlternateContent>
        <mc:AlternateContent xmlns:mc="http://schemas.openxmlformats.org/markup-compatibility/2006">
          <mc:Choice Requires="x14">
            <control shapeId="586805" name="cnt_highlight_group" r:id="rId5">
              <controlPr print="0" defaultSize="0">
                <anchor>
                  <from>
                    <xdr:col>9</xdr:col>
                    <xdr:colOff>228600</xdr:colOff>
                    <xdr:row>2</xdr:row>
                    <xdr:rowOff>228600</xdr:rowOff>
                  </from>
                  <to>
                    <xdr:col>9</xdr:col>
                    <xdr:colOff>1476375</xdr:colOff>
                    <xdr:row>2</xdr:row>
                    <xdr:rowOff>438150</xdr:rowOff>
                  </to>
                </anchor>
              </controlPr>
            </control>
          </mc:Choice>
        </mc:AlternateContent>
        <mc:AlternateContent xmlns:mc="http://schemas.openxmlformats.org/markup-compatibility/2006">
          <mc:Choice Requires="x14">
            <control shapeId="586806" name="Drop Down 54" r:id="rId6">
              <controlPr print="0" defaultSize="0">
                <anchor>
                  <from>
                    <xdr:col>9</xdr:col>
                    <xdr:colOff>1638300</xdr:colOff>
                    <xdr:row>2</xdr:row>
                    <xdr:rowOff>228600</xdr:rowOff>
                  </from>
                  <to>
                    <xdr:col>9</xdr:col>
                    <xdr:colOff>2886075</xdr:colOff>
                    <xdr:row>2</xdr:row>
                    <xdr:rowOff>438150</xdr:rowOff>
                  </to>
                </anchor>
              </controlPr>
            </control>
          </mc:Choice>
        </mc:AlternateContent>
        <mc:AlternateContent xmlns:mc="http://schemas.openxmlformats.org/markup-compatibility/2006">
          <mc:Choice Requires="x14">
            <control shapeId="586807" name="Check Box 55" r:id="rId7">
              <controlPr defaultSize="0">
                <anchor moveWithCells="1">
                  <from>
                    <xdr:col>9</xdr:col>
                    <xdr:colOff>4238625</xdr:colOff>
                    <xdr:row>2</xdr:row>
                    <xdr:rowOff>123825</xdr:rowOff>
                  </from>
                  <to>
                    <xdr:col>10</xdr:col>
                    <xdr:colOff>161925</xdr:colOff>
                    <xdr:row>2</xdr:row>
                    <xdr:rowOff>342900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P50"/>
  <sheetViews>
    <sheetView showGridLines="0" showRowColHeaders="0" workbookViewId="0">
      <selection activeCell="A1" sqref="A1"/>
    </sheetView>
  </sheetViews>
  <sheetFormatPr defaultColWidth="9" defaultRowHeight="15"/>
  <cols>
    <col min="1" max="1" width="5.42857142857143" customWidth="1"/>
    <col min="2" max="2" width="2.85714285714286" hidden="1" customWidth="1"/>
    <col min="3" max="3" width="38.1428571428571" customWidth="1"/>
    <col min="4" max="4" width="6.14285714285714" customWidth="1"/>
    <col min="5" max="5" width="6.85714285714286" customWidth="1"/>
    <col min="6" max="6" width="4.14285714285714" customWidth="1"/>
    <col min="7" max="7" width="6.85714285714286" hidden="1" customWidth="1"/>
    <col min="8" max="8" width="9" customWidth="1"/>
    <col min="9" max="9" width="11.5714285714286" customWidth="1"/>
    <col min="10" max="10" width="23.2857142857143" customWidth="1"/>
    <col min="12" max="12" width="4.14285714285714" customWidth="1"/>
    <col min="13" max="13" width="3.71428571428571" hidden="1" customWidth="1"/>
    <col min="14" max="14" width="31.4285714285714" customWidth="1"/>
  </cols>
  <sheetData>
    <row r="1" ht="27" customHeight="1" spans="1:3">
      <c r="A1" s="2" t="str">
        <f>Summary!A1</f>
        <v>                             Safe City Index</v>
      </c>
      <c r="B1" s="2"/>
      <c r="C1" t="s">
        <v>1699</v>
      </c>
    </row>
    <row r="2" ht="21" customHeight="1"/>
    <row r="3" ht="37.5" customHeight="1"/>
    <row r="4" customHeight="1"/>
    <row r="5" ht="18.75" customHeight="1" spans="3:12">
      <c r="C5" s="67" t="str">
        <f>UPPER(INDEX(luCountry,uxbWorks!$B$15))</f>
        <v>ABU DHABI</v>
      </c>
      <c r="D5" s="103"/>
      <c r="E5" s="103"/>
      <c r="F5" s="103"/>
      <c r="G5" s="103"/>
      <c r="H5" s="103"/>
      <c r="I5" s="113"/>
      <c r="L5" s="114"/>
    </row>
    <row r="6" ht="14.25" customHeight="1"/>
    <row r="7" ht="25.5" spans="3:10">
      <c r="C7" s="104"/>
      <c r="D7" s="104"/>
      <c r="E7" s="104"/>
      <c r="F7" s="104"/>
      <c r="G7" s="104"/>
      <c r="H7" s="104" t="str">
        <f>iCityP!C6</f>
        <v>Rank / 50</v>
      </c>
      <c r="I7" s="115" t="str">
        <f>iCityP!B4</f>
        <v>Total Score / 100</v>
      </c>
      <c r="J7" s="116"/>
    </row>
    <row r="8" ht="24" customHeight="1" spans="3:10">
      <c r="C8" s="105" t="str">
        <f>iCityP!B7</f>
        <v>TOTAL SCORE</v>
      </c>
      <c r="D8" s="105"/>
      <c r="E8" s="105"/>
      <c r="F8" s="105"/>
      <c r="G8" s="105"/>
      <c r="H8" s="106">
        <f>iCityP!C7</f>
        <v>25</v>
      </c>
      <c r="I8" s="117">
        <f>iCityP!D7</f>
        <v>69.83</v>
      </c>
      <c r="J8" s="118"/>
    </row>
    <row r="9" ht="24" customHeight="1" spans="3:10">
      <c r="C9" s="107" t="str">
        <f>iCityP!B8</f>
        <v>1) DIGITAL SECURITY</v>
      </c>
      <c r="D9" s="107"/>
      <c r="E9" s="107"/>
      <c r="F9" s="107"/>
      <c r="G9" s="107"/>
      <c r="H9" s="108">
        <f>iCityP!C8</f>
        <v>9</v>
      </c>
      <c r="I9" s="119">
        <f>iCityP!D8</f>
        <v>73.71</v>
      </c>
      <c r="J9" s="118"/>
    </row>
    <row r="10" ht="24" customHeight="1" spans="3:10">
      <c r="C10" s="107" t="str">
        <f>iCityP!B9</f>
        <v>2) HEALTH SECURITY</v>
      </c>
      <c r="D10" s="107"/>
      <c r="E10" s="107"/>
      <c r="F10" s="107"/>
      <c r="G10" s="107"/>
      <c r="H10" s="108">
        <f>iCityP!C9</f>
        <v>45</v>
      </c>
      <c r="I10" s="119">
        <f>iCityP!D9</f>
        <v>52.06</v>
      </c>
      <c r="J10" s="118"/>
    </row>
    <row r="11" ht="24" customHeight="1" spans="3:10">
      <c r="C11" s="107" t="str">
        <f>iCityP!B10</f>
        <v>3) INFRASTRUCTURE SAFETY</v>
      </c>
      <c r="D11" s="107"/>
      <c r="E11" s="107"/>
      <c r="F11" s="107"/>
      <c r="G11" s="107"/>
      <c r="H11" s="108">
        <f>iCityP!C10</f>
        <v>10</v>
      </c>
      <c r="I11" s="119">
        <f>iCityP!D10</f>
        <v>86.16</v>
      </c>
      <c r="J11" s="118"/>
    </row>
    <row r="12" ht="24" customHeight="1" spans="3:9">
      <c r="C12" s="107" t="str">
        <f>iCityP!B11</f>
        <v>4) PERSONAL SAFETY</v>
      </c>
      <c r="D12" s="107"/>
      <c r="E12" s="107"/>
      <c r="F12" s="107"/>
      <c r="G12" s="107"/>
      <c r="H12" s="108">
        <f>iCityP!C11</f>
        <v>32</v>
      </c>
      <c r="I12" s="119">
        <f>iCityP!D11</f>
        <v>67.39</v>
      </c>
    </row>
    <row r="14" spans="3:3">
      <c r="C14" s="1" t="s">
        <v>1703</v>
      </c>
    </row>
    <row r="15" spans="3:3">
      <c r="C15" s="23" t="s">
        <v>1700</v>
      </c>
    </row>
    <row r="16" spans="3:3">
      <c r="C16" s="23" t="str">
        <f>uxbWorks!$C$22</f>
        <v>Grouped by score</v>
      </c>
    </row>
    <row r="18" spans="3:16">
      <c r="C18" s="109" t="str">
        <f>iCityP!O14</f>
        <v>Scores 75 or more</v>
      </c>
      <c r="D18" s="110"/>
      <c r="E18" s="110"/>
      <c r="H18" s="111" t="str">
        <f>iCityP!P14</f>
        <v>Scores 25-75</v>
      </c>
      <c r="I18" s="111"/>
      <c r="J18" s="111"/>
      <c r="K18" s="111"/>
      <c r="N18" s="120" t="str">
        <f>iCityP!Q14</f>
        <v>Scores 0-25</v>
      </c>
      <c r="O18" s="120"/>
      <c r="P18" s="120"/>
    </row>
    <row r="19" spans="2:16">
      <c r="B19">
        <f ca="1">iCityP!O15</f>
        <v>10</v>
      </c>
      <c r="C19" s="23" t="str">
        <f ca="1">IF(B19=0,"",INDEX(tblIndicators!$Z$2:$Z$58,B19))</f>
        <v>1.2) Digital Security (Outputs)</v>
      </c>
      <c r="D19" s="23"/>
      <c r="E19" s="112">
        <f ca="1">IF(B19=0,"",INDEX(aRoundedScores,B19,iCityP!$B$1))</f>
        <v>80.08</v>
      </c>
      <c r="F19" s="23"/>
      <c r="G19" s="23">
        <f ca="1">iCityP!P15</f>
        <v>3</v>
      </c>
      <c r="H19" s="23" t="str">
        <f ca="1">IF(G19=0,"",INDEX(tblIndicators!$Z$2:$Z$58,G19))</f>
        <v>1.1) Digital Security (Inputs)</v>
      </c>
      <c r="I19" s="23"/>
      <c r="J19" s="23"/>
      <c r="K19" s="112">
        <f ca="1">IF(G19=0,"",INDEX(aRoundedScores,G19,iCityP!$B$1))</f>
        <v>67.33</v>
      </c>
      <c r="L19" s="23"/>
      <c r="M19" s="23">
        <f ca="1">iCityP!Q15</f>
        <v>0</v>
      </c>
      <c r="N19" s="23" t="str">
        <f ca="1">IF(M19=0,"",INDEX(tblIndicators!$Z$2:$Z$58,M19))</f>
        <v/>
      </c>
      <c r="O19" s="23"/>
      <c r="P19" s="112" t="str">
        <f ca="1">IF(M19=0,"",INDEX(aRoundedScores,M19,iCityP!$B$1))</f>
        <v/>
      </c>
    </row>
    <row r="20" spans="2:16">
      <c r="B20">
        <f ca="1">iCityP!O16</f>
        <v>29</v>
      </c>
      <c r="C20" s="23" t="str">
        <f ca="1">IF(B20=0,"",INDEX(tblIndicators!$Z$2:$Z$58,B20))</f>
        <v>3.1) Infrastructure Safety (Inputs)</v>
      </c>
      <c r="D20" s="23"/>
      <c r="E20" s="112">
        <f ca="1">IF(B20=0,"",INDEX(aRoundedScores,B20,iCityP!$B$1))</f>
        <v>86.5</v>
      </c>
      <c r="F20" s="23"/>
      <c r="G20" s="23">
        <f ca="1">iCityP!P16</f>
        <v>15</v>
      </c>
      <c r="H20" s="23" t="str">
        <f ca="1">IF(G20=0,"",INDEX(tblIndicators!$Z$2:$Z$58,G20))</f>
        <v>2.1) Health Security (Inputs)</v>
      </c>
      <c r="I20" s="23"/>
      <c r="J20" s="23"/>
      <c r="K20" s="112">
        <f ca="1">IF(G20=0,"",INDEX(aRoundedScores,G20,iCityP!$B$1))</f>
        <v>54.38</v>
      </c>
      <c r="L20" s="23"/>
      <c r="M20" s="23">
        <f ca="1">iCityP!Q16</f>
        <v>0</v>
      </c>
      <c r="N20" s="23" t="str">
        <f ca="1">IF(M20=0,"",INDEX(tblIndicators!$Z$2:$Z$58,M20))</f>
        <v/>
      </c>
      <c r="O20" s="23"/>
      <c r="P20" s="112" t="str">
        <f ca="1">IF(M20=0,"",INDEX(aRoundedScores,M20,iCityP!$B$1))</f>
        <v/>
      </c>
    </row>
    <row r="21" spans="2:16">
      <c r="B21">
        <f ca="1">iCityP!O17</f>
        <v>35</v>
      </c>
      <c r="C21" s="23" t="str">
        <f ca="1">IF(B21=0,"",INDEX(tblIndicators!$Z$2:$Z$58,B21))</f>
        <v>3.2) Infrastructure Safety (Outputs)</v>
      </c>
      <c r="D21" s="23"/>
      <c r="E21" s="112">
        <f ca="1">IF(B21=0,"",INDEX(aRoundedScores,B21,iCityP!$B$1))</f>
        <v>85.81</v>
      </c>
      <c r="F21" s="23"/>
      <c r="G21" s="23">
        <f ca="1">iCityP!P17</f>
        <v>22</v>
      </c>
      <c r="H21" s="23" t="str">
        <f ca="1">IF(G21=0,"",INDEX(tblIndicators!$Z$2:$Z$58,G21))</f>
        <v>2.2) Health Security (Outputs)</v>
      </c>
      <c r="I21" s="23"/>
      <c r="J21" s="23"/>
      <c r="K21" s="112">
        <f ca="1">IF(G21=0,"",INDEX(aRoundedScores,G21,iCityP!$B$1))</f>
        <v>49.75</v>
      </c>
      <c r="L21" s="23"/>
      <c r="M21" s="23">
        <f ca="1">iCityP!Q17</f>
        <v>0</v>
      </c>
      <c r="N21" s="23" t="str">
        <f ca="1">IF(M21=0,"",INDEX(tblIndicators!$Z$2:$Z$58,M21))</f>
        <v/>
      </c>
      <c r="O21" s="23"/>
      <c r="P21" s="112" t="str">
        <f ca="1">IF(M21=0,"",INDEX(aRoundedScores,M21,iCityP!$B$1))</f>
        <v/>
      </c>
    </row>
    <row r="22" spans="2:16">
      <c r="B22">
        <f ca="1">iCityP!O18</f>
        <v>49</v>
      </c>
      <c r="C22" s="23" t="str">
        <f ca="1">IF(B22=0,"",INDEX(tblIndicators!$Z$2:$Z$58,B22))</f>
        <v>4.2) Personal Safety (Outputs)</v>
      </c>
      <c r="D22" s="23"/>
      <c r="E22" s="112">
        <f ca="1">IF(B22=0,"",INDEX(aRoundedScores,B22,iCityP!$B$1))</f>
        <v>84.77</v>
      </c>
      <c r="F22" s="23"/>
      <c r="G22" s="23">
        <f ca="1">iCityP!P18</f>
        <v>41</v>
      </c>
      <c r="H22" s="23" t="str">
        <f ca="1">IF(G22=0,"",INDEX(tblIndicators!$Z$2:$Z$58,G22))</f>
        <v>4.1) Personal Safety (Inputs)</v>
      </c>
      <c r="I22" s="23"/>
      <c r="J22" s="23"/>
      <c r="K22" s="112">
        <f ca="1">IF(G22=0,"",INDEX(aRoundedScores,G22,iCityP!$B$1))</f>
        <v>50</v>
      </c>
      <c r="L22" s="23"/>
      <c r="M22" s="23">
        <f ca="1">iCityP!Q18</f>
        <v>0</v>
      </c>
      <c r="N22" s="23" t="str">
        <f ca="1">IF(M22=0,"",INDEX(tblIndicators!$Z$2:$Z$58,M22))</f>
        <v/>
      </c>
      <c r="O22" s="23"/>
      <c r="P22" s="112" t="str">
        <f ca="1">IF(M22=0,"",INDEX(aRoundedScores,M22,iCityP!$B$1))</f>
        <v/>
      </c>
    </row>
    <row r="23" spans="2:16">
      <c r="B23">
        <f ca="1">iCityP!O19</f>
        <v>0</v>
      </c>
      <c r="C23" s="23" t="str">
        <f ca="1">IF(B23=0,"",INDEX(tblIndicators!$Z$2:$Z$58,B23))</f>
        <v/>
      </c>
      <c r="D23" s="23"/>
      <c r="E23" s="112" t="str">
        <f ca="1">IF(B23=0,"",INDEX(aRoundedScores,B23,iCityP!$B$1))</f>
        <v/>
      </c>
      <c r="F23" s="23"/>
      <c r="G23" s="23">
        <f ca="1">iCityP!P19</f>
        <v>0</v>
      </c>
      <c r="H23" s="23" t="str">
        <f ca="1">IF(G23=0,"",INDEX(tblIndicators!$Z$2:$Z$58,G23))</f>
        <v/>
      </c>
      <c r="I23" s="23"/>
      <c r="J23" s="23"/>
      <c r="K23" s="112" t="str">
        <f ca="1">IF(G23=0,"",INDEX(aRoundedScores,G23,iCityP!$B$1))</f>
        <v/>
      </c>
      <c r="L23" s="23"/>
      <c r="M23" s="23">
        <f ca="1">iCityP!Q19</f>
        <v>0</v>
      </c>
      <c r="N23" s="23" t="str">
        <f ca="1">IF(M23=0,"",INDEX(tblIndicators!$Z$2:$Z$58,M23))</f>
        <v/>
      </c>
      <c r="O23" s="23"/>
      <c r="P23" s="112" t="str">
        <f ca="1">IF(M23=0,"",INDEX(aRoundedScores,M23,iCityP!$B$1))</f>
        <v/>
      </c>
    </row>
    <row r="24" spans="2:16">
      <c r="B24">
        <f ca="1">iCityP!O20</f>
        <v>0</v>
      </c>
      <c r="C24" s="23" t="str">
        <f ca="1">IF(B24=0,"",INDEX(tblIndicators!$Z$2:$Z$58,B24))</f>
        <v/>
      </c>
      <c r="D24" s="23"/>
      <c r="E24" s="112" t="str">
        <f ca="1">IF(B24=0,"",INDEX(aRoundedScores,B24,iCityP!$B$1))</f>
        <v/>
      </c>
      <c r="F24" s="23"/>
      <c r="G24" s="23">
        <f ca="1">iCityP!P20</f>
        <v>0</v>
      </c>
      <c r="H24" s="23" t="str">
        <f ca="1">IF(G24=0,"",INDEX(tblIndicators!$Z$2:$Z$58,G24))</f>
        <v/>
      </c>
      <c r="I24" s="23"/>
      <c r="J24" s="23"/>
      <c r="K24" s="112" t="str">
        <f ca="1">IF(G24=0,"",INDEX(aRoundedScores,G24,iCityP!$B$1))</f>
        <v/>
      </c>
      <c r="L24" s="23"/>
      <c r="M24" s="23">
        <f ca="1">iCityP!Q20</f>
        <v>0</v>
      </c>
      <c r="N24" s="23" t="str">
        <f ca="1">IF(M24=0,"",INDEX(tblIndicators!$Z$2:$Z$58,M24))</f>
        <v/>
      </c>
      <c r="O24" s="23"/>
      <c r="P24" s="112" t="str">
        <f ca="1">IF(M24=0,"",INDEX(aRoundedScores,M24,iCityP!$B$1))</f>
        <v/>
      </c>
    </row>
    <row r="25" spans="2:16">
      <c r="B25">
        <f ca="1">iCityP!O21</f>
        <v>0</v>
      </c>
      <c r="C25" s="23" t="str">
        <f ca="1">IF(B25=0,"",INDEX(tblIndicators!$Z$2:$Z$58,B25))</f>
        <v/>
      </c>
      <c r="D25" s="23"/>
      <c r="E25" s="112" t="str">
        <f ca="1">IF(B25=0,"",INDEX(aRoundedScores,B25,iCityP!$B$1))</f>
        <v/>
      </c>
      <c r="F25" s="23"/>
      <c r="G25" s="23">
        <f ca="1">iCityP!P21</f>
        <v>0</v>
      </c>
      <c r="H25" s="23" t="str">
        <f ca="1">IF(G25=0,"",INDEX(tblIndicators!$Z$2:$Z$58,G25))</f>
        <v/>
      </c>
      <c r="I25" s="23"/>
      <c r="J25" s="23"/>
      <c r="K25" s="112" t="str">
        <f ca="1">IF(G25=0,"",INDEX(aRoundedScores,G25,iCityP!$B$1))</f>
        <v/>
      </c>
      <c r="L25" s="23"/>
      <c r="M25" s="23">
        <f ca="1">iCityP!Q21</f>
        <v>0</v>
      </c>
      <c r="N25" s="23" t="str">
        <f ca="1">IF(M25=0,"",INDEX(tblIndicators!$Z$2:$Z$58,M25))</f>
        <v/>
      </c>
      <c r="O25" s="23"/>
      <c r="P25" s="112" t="str">
        <f ca="1">IF(M25=0,"",INDEX(aRoundedScores,M25,iCityP!$B$1))</f>
        <v/>
      </c>
    </row>
    <row r="26" spans="2:16">
      <c r="B26">
        <f ca="1">iCityP!O22</f>
        <v>0</v>
      </c>
      <c r="C26" s="23" t="str">
        <f ca="1">IF(B26=0,"",INDEX(tblIndicators!$Z$2:$Z$58,B26))</f>
        <v/>
      </c>
      <c r="D26" s="23"/>
      <c r="E26" s="112" t="str">
        <f ca="1">IF(B26=0,"",INDEX(aRoundedScores,B26,iCityP!$B$1))</f>
        <v/>
      </c>
      <c r="F26" s="23"/>
      <c r="G26" s="23">
        <f ca="1">iCityP!P22</f>
        <v>0</v>
      </c>
      <c r="H26" s="23" t="str">
        <f ca="1">IF(G26=0,"",INDEX(tblIndicators!$Z$2:$Z$58,G26))</f>
        <v/>
      </c>
      <c r="I26" s="23"/>
      <c r="J26" s="23"/>
      <c r="K26" s="112" t="str">
        <f ca="1">IF(G26=0,"",INDEX(aRoundedScores,G26,iCityP!$B$1))</f>
        <v/>
      </c>
      <c r="L26" s="23"/>
      <c r="M26" s="23">
        <f ca="1">iCityP!Q22</f>
        <v>0</v>
      </c>
      <c r="N26" s="23" t="str">
        <f ca="1">IF(M26=0,"",INDEX(tblIndicators!$Z$2:$Z$58,M26))</f>
        <v/>
      </c>
      <c r="O26" s="23"/>
      <c r="P26" s="112" t="str">
        <f ca="1">IF(M26=0,"",INDEX(aRoundedScores,M26,iCityP!$B$1))</f>
        <v/>
      </c>
    </row>
    <row r="27" spans="2:16">
      <c r="B27">
        <f ca="1">iCityP!O23</f>
        <v>0</v>
      </c>
      <c r="C27" s="23" t="str">
        <f ca="1">IF(B27=0,"",INDEX(tblIndicators!$Z$2:$Z$58,B27))</f>
        <v/>
      </c>
      <c r="D27" s="23"/>
      <c r="E27" s="112" t="str">
        <f ca="1">IF(B27=0,"",INDEX(aRoundedScores,B27,iCityP!$B$1))</f>
        <v/>
      </c>
      <c r="F27" s="23"/>
      <c r="G27" s="23">
        <f ca="1">iCityP!P23</f>
        <v>0</v>
      </c>
      <c r="H27" s="23" t="str">
        <f ca="1">IF(G27=0,"",INDEX(tblIndicators!$Z$2:$Z$58,G27))</f>
        <v/>
      </c>
      <c r="I27" s="23"/>
      <c r="J27" s="23"/>
      <c r="K27" s="112" t="str">
        <f ca="1">IF(G27=0,"",INDEX(aRoundedScores,G27,iCityP!$B$1))</f>
        <v/>
      </c>
      <c r="L27" s="23"/>
      <c r="M27" s="23">
        <f ca="1">iCityP!Q23</f>
        <v>0</v>
      </c>
      <c r="N27" s="23" t="str">
        <f ca="1">IF(M27=0,"",INDEX(tblIndicators!$Z$2:$Z$58,M27))</f>
        <v/>
      </c>
      <c r="O27" s="23"/>
      <c r="P27" s="112" t="str">
        <f ca="1">IF(M27=0,"",INDEX(aRoundedScores,M27,iCityP!$B$1))</f>
        <v/>
      </c>
    </row>
    <row r="28" spans="2:16">
      <c r="B28">
        <f ca="1">iCityP!O24</f>
        <v>0</v>
      </c>
      <c r="C28" s="23" t="str">
        <f ca="1">IF(B28=0,"",INDEX(tblIndicators!$Z$2:$Z$58,B28))</f>
        <v/>
      </c>
      <c r="D28" s="23"/>
      <c r="E28" s="112" t="str">
        <f ca="1">IF(B28=0,"",INDEX(aRoundedScores,B28,iCityP!$B$1))</f>
        <v/>
      </c>
      <c r="F28" s="23"/>
      <c r="G28" s="23">
        <f ca="1">iCityP!P24</f>
        <v>0</v>
      </c>
      <c r="H28" s="23" t="str">
        <f ca="1">IF(G28=0,"",INDEX(tblIndicators!$Z$2:$Z$58,G28))</f>
        <v/>
      </c>
      <c r="I28" s="23"/>
      <c r="J28" s="23"/>
      <c r="K28" s="112" t="str">
        <f ca="1">IF(G28=0,"",INDEX(aRoundedScores,G28,iCityP!$B$1))</f>
        <v/>
      </c>
      <c r="L28" s="23"/>
      <c r="M28" s="23">
        <f ca="1">iCityP!Q24</f>
        <v>0</v>
      </c>
      <c r="N28" s="23" t="str">
        <f ca="1">IF(M28=0,"",INDEX(tblIndicators!$Z$2:$Z$58,M28))</f>
        <v/>
      </c>
      <c r="O28" s="23"/>
      <c r="P28" s="112" t="str">
        <f ca="1">IF(M28=0,"",INDEX(aRoundedScores,M28,iCityP!$B$1))</f>
        <v/>
      </c>
    </row>
    <row r="29" spans="2:16">
      <c r="B29">
        <f ca="1">iCityP!O25</f>
        <v>0</v>
      </c>
      <c r="C29" s="23" t="str">
        <f ca="1">IF(B29=0,"",INDEX(tblIndicators!$Z$2:$Z$58,B29))</f>
        <v/>
      </c>
      <c r="D29" s="23"/>
      <c r="E29" s="112" t="str">
        <f ca="1">IF(B29=0,"",INDEX(aRoundedScores,B29,iCityP!$B$1))</f>
        <v/>
      </c>
      <c r="F29" s="23"/>
      <c r="G29" s="23">
        <f ca="1">iCityP!P25</f>
        <v>0</v>
      </c>
      <c r="H29" s="23" t="str">
        <f ca="1">IF(G29=0,"",INDEX(tblIndicators!$Z$2:$Z$58,G29))</f>
        <v/>
      </c>
      <c r="I29" s="23"/>
      <c r="J29" s="23"/>
      <c r="K29" s="112" t="str">
        <f ca="1">IF(G29=0,"",INDEX(aRoundedScores,G29,iCityP!$B$1))</f>
        <v/>
      </c>
      <c r="L29" s="23"/>
      <c r="M29" s="23">
        <f ca="1">iCityP!Q25</f>
        <v>0</v>
      </c>
      <c r="N29" s="23" t="str">
        <f ca="1">IF(M29=0,"",INDEX(tblIndicators!$Z$2:$Z$58,M29))</f>
        <v/>
      </c>
      <c r="O29" s="23"/>
      <c r="P29" s="112" t="str">
        <f ca="1">IF(M29=0,"",INDEX(aRoundedScores,M29,iCityP!$B$1))</f>
        <v/>
      </c>
    </row>
    <row r="30" spans="2:16">
      <c r="B30">
        <f ca="1">iCityP!O26</f>
        <v>0</v>
      </c>
      <c r="C30" s="23" t="str">
        <f ca="1">IF(B30=0,"",INDEX(tblIndicators!$Z$2:$Z$58,B30))</f>
        <v/>
      </c>
      <c r="D30" s="23"/>
      <c r="E30" s="112" t="str">
        <f ca="1">IF(B30=0,"",INDEX(aRoundedScores,B30,iCityP!$B$1))</f>
        <v/>
      </c>
      <c r="F30" s="23"/>
      <c r="G30" s="23">
        <f ca="1">iCityP!P26</f>
        <v>0</v>
      </c>
      <c r="H30" s="23" t="str">
        <f ca="1">IF(G30=0,"",INDEX(tblIndicators!$Z$2:$Z$58,G30))</f>
        <v/>
      </c>
      <c r="I30" s="23"/>
      <c r="J30" s="23"/>
      <c r="K30" s="112" t="str">
        <f ca="1">IF(G30=0,"",INDEX(aRoundedScores,G30,iCityP!$B$1))</f>
        <v/>
      </c>
      <c r="L30" s="23"/>
      <c r="M30" s="23">
        <f ca="1">iCityP!Q26</f>
        <v>0</v>
      </c>
      <c r="N30" s="23" t="str">
        <f ca="1">IF(M30=0,"",INDEX(tblIndicators!$Z$2:$Z$58,M30))</f>
        <v/>
      </c>
      <c r="O30" s="23"/>
      <c r="P30" s="112" t="str">
        <f ca="1">IF(M30=0,"",INDEX(aRoundedScores,M30,iCityP!$B$1))</f>
        <v/>
      </c>
    </row>
    <row r="31" spans="2:16">
      <c r="B31">
        <f ca="1">iCityP!O27</f>
        <v>0</v>
      </c>
      <c r="C31" s="23" t="str">
        <f ca="1">IF(B31=0,"",INDEX(tblIndicators!$Z$2:$Z$58,B31))</f>
        <v/>
      </c>
      <c r="D31" s="23"/>
      <c r="E31" s="112" t="str">
        <f ca="1">IF(B31=0,"",INDEX(aRoundedScores,B31,iCityP!$B$1))</f>
        <v/>
      </c>
      <c r="F31" s="23"/>
      <c r="G31" s="23">
        <f ca="1">iCityP!P27</f>
        <v>0</v>
      </c>
      <c r="H31" s="23" t="str">
        <f ca="1">IF(G31=0,"",INDEX(tblIndicators!$Z$2:$Z$58,G31))</f>
        <v/>
      </c>
      <c r="I31" s="23"/>
      <c r="J31" s="23"/>
      <c r="K31" s="112" t="str">
        <f ca="1">IF(G31=0,"",INDEX(aRoundedScores,G31,iCityP!$B$1))</f>
        <v/>
      </c>
      <c r="L31" s="23"/>
      <c r="M31" s="23">
        <f ca="1">iCityP!Q27</f>
        <v>0</v>
      </c>
      <c r="N31" s="23" t="str">
        <f ca="1">IF(M31=0,"",INDEX(tblIndicators!$Z$2:$Z$58,M31))</f>
        <v/>
      </c>
      <c r="O31" s="23"/>
      <c r="P31" s="112" t="str">
        <f ca="1">IF(M31=0,"",INDEX(aRoundedScores,M31,iCityP!$B$1))</f>
        <v/>
      </c>
    </row>
    <row r="32" spans="2:16">
      <c r="B32">
        <f ca="1">iCityP!O28</f>
        <v>0</v>
      </c>
      <c r="C32" s="23" t="str">
        <f ca="1">IF(B32=0,"",INDEX(tblIndicators!$Z$2:$Z$58,B32))</f>
        <v/>
      </c>
      <c r="D32" s="23"/>
      <c r="E32" s="112" t="str">
        <f ca="1">IF(B32=0,"",INDEX(aRoundedScores,B32,iCityP!$B$1))</f>
        <v/>
      </c>
      <c r="F32" s="23"/>
      <c r="G32" s="23">
        <f ca="1">iCityP!P28</f>
        <v>0</v>
      </c>
      <c r="H32" s="23" t="str">
        <f ca="1">IF(G32=0,"",INDEX(tblIndicators!$Z$2:$Z$58,G32))</f>
        <v/>
      </c>
      <c r="I32" s="23"/>
      <c r="J32" s="23"/>
      <c r="K32" s="112" t="str">
        <f ca="1">IF(G32=0,"",INDEX(aRoundedScores,G32,iCityP!$B$1))</f>
        <v/>
      </c>
      <c r="L32" s="23"/>
      <c r="M32" s="23">
        <f ca="1">iCityP!Q28</f>
        <v>0</v>
      </c>
      <c r="N32" s="23" t="str">
        <f ca="1">IF(M32=0,"",INDEX(tblIndicators!$Z$2:$Z$58,M32))</f>
        <v/>
      </c>
      <c r="O32" s="23"/>
      <c r="P32" s="112" t="str">
        <f ca="1">IF(M32=0,"",INDEX(aRoundedScores,M32,iCityP!$B$1))</f>
        <v/>
      </c>
    </row>
    <row r="33" spans="2:16">
      <c r="B33">
        <f ca="1">iCityP!O29</f>
        <v>0</v>
      </c>
      <c r="C33" s="23" t="str">
        <f ca="1">IF(B33=0,"",INDEX(tblIndicators!$Z$2:$Z$58,B33))</f>
        <v/>
      </c>
      <c r="D33" s="23"/>
      <c r="E33" s="112" t="str">
        <f ca="1">IF(B33=0,"",INDEX(aRoundedScores,B33,iCityP!$B$1))</f>
        <v/>
      </c>
      <c r="F33" s="23"/>
      <c r="G33" s="23">
        <f ca="1">iCityP!P29</f>
        <v>0</v>
      </c>
      <c r="H33" s="23" t="str">
        <f ca="1">IF(G33=0,"",INDEX(tblIndicators!$Z$2:$Z$58,G33))</f>
        <v/>
      </c>
      <c r="I33" s="23"/>
      <c r="J33" s="23"/>
      <c r="K33" s="112" t="str">
        <f ca="1">IF(G33=0,"",INDEX(aRoundedScores,G33,iCityP!$B$1))</f>
        <v/>
      </c>
      <c r="L33" s="23"/>
      <c r="M33" s="23">
        <f ca="1">iCityP!Q29</f>
        <v>0</v>
      </c>
      <c r="N33" s="23" t="str">
        <f ca="1">IF(M33=0,"",INDEX(tblIndicators!$Z$2:$Z$58,M33))</f>
        <v/>
      </c>
      <c r="O33" s="23"/>
      <c r="P33" s="112" t="str">
        <f ca="1">IF(M33=0,"",INDEX(aRoundedScores,M33,iCityP!$B$1))</f>
        <v/>
      </c>
    </row>
    <row r="34" spans="2:16">
      <c r="B34">
        <f ca="1">iCityP!O30</f>
        <v>0</v>
      </c>
      <c r="C34" s="23" t="str">
        <f ca="1">IF(B34=0,"",INDEX(tblIndicators!$Z$2:$Z$58,B34))</f>
        <v/>
      </c>
      <c r="D34" s="23"/>
      <c r="E34" s="112" t="str">
        <f ca="1">IF(B34=0,"",INDEX(aRoundedScores,B34,iCityP!$B$1))</f>
        <v/>
      </c>
      <c r="F34" s="23"/>
      <c r="G34" s="23">
        <f ca="1">iCityP!P30</f>
        <v>0</v>
      </c>
      <c r="H34" s="23" t="str">
        <f ca="1">IF(G34=0,"",INDEX(tblIndicators!$Z$2:$Z$58,G34))</f>
        <v/>
      </c>
      <c r="I34" s="23"/>
      <c r="J34" s="23"/>
      <c r="K34" s="112" t="str">
        <f ca="1">IF(G34=0,"",INDEX(aRoundedScores,G34,iCityP!$B$1))</f>
        <v/>
      </c>
      <c r="L34" s="23"/>
      <c r="M34" s="23">
        <f ca="1">iCityP!Q30</f>
        <v>0</v>
      </c>
      <c r="N34" s="23" t="str">
        <f ca="1">IF(M34=0,"",INDEX(tblIndicators!$Z$2:$Z$58,M34))</f>
        <v/>
      </c>
      <c r="O34" s="23"/>
      <c r="P34" s="112" t="str">
        <f ca="1">IF(M34=0,"",INDEX(aRoundedScores,M34,iCityP!$B$1))</f>
        <v/>
      </c>
    </row>
    <row r="35" spans="2:16">
      <c r="B35">
        <f ca="1">iCityP!O31</f>
        <v>0</v>
      </c>
      <c r="C35" s="23" t="str">
        <f ca="1">IF(B35=0,"",INDEX(tblIndicators!$Z$2:$Z$58,B35))</f>
        <v/>
      </c>
      <c r="D35" s="23"/>
      <c r="E35" s="112" t="str">
        <f ca="1">IF(B35=0,"",INDEX(aRoundedScores,B35,iCityP!$B$1))</f>
        <v/>
      </c>
      <c r="F35" s="23"/>
      <c r="G35" s="23">
        <f ca="1">iCityP!P31</f>
        <v>0</v>
      </c>
      <c r="H35" s="23" t="str">
        <f ca="1">IF(G35=0,"",INDEX(tblIndicators!$Z$2:$Z$58,G35))</f>
        <v/>
      </c>
      <c r="I35" s="23"/>
      <c r="J35" s="23"/>
      <c r="K35" s="112" t="str">
        <f ca="1">IF(G35=0,"",INDEX(aRoundedScores,G35,iCityP!$B$1))</f>
        <v/>
      </c>
      <c r="L35" s="23"/>
      <c r="M35" s="23">
        <f ca="1">iCityP!Q31</f>
        <v>0</v>
      </c>
      <c r="N35" s="23" t="str">
        <f ca="1">IF(M35=0,"",INDEX(tblIndicators!$Z$2:$Z$58,M35))</f>
        <v/>
      </c>
      <c r="O35" s="23"/>
      <c r="P35" s="112" t="str">
        <f ca="1">IF(M35=0,"",INDEX(aRoundedScores,M35,iCityP!$B$1))</f>
        <v/>
      </c>
    </row>
    <row r="36" spans="2:16">
      <c r="B36">
        <f ca="1">iCityP!O32</f>
        <v>0</v>
      </c>
      <c r="C36" s="23" t="str">
        <f ca="1">IF(B36=0,"",INDEX(tblIndicators!$Z$2:$Z$58,B36))</f>
        <v/>
      </c>
      <c r="D36" s="23"/>
      <c r="E36" s="112" t="str">
        <f ca="1">IF(B36=0,"",INDEX(aRoundedScores,B36,iCityP!$B$1))</f>
        <v/>
      </c>
      <c r="F36" s="23"/>
      <c r="G36" s="23">
        <f ca="1">iCityP!P32</f>
        <v>0</v>
      </c>
      <c r="H36" s="23" t="str">
        <f ca="1">IF(G36=0,"",INDEX(tblIndicators!$Z$2:$Z$58,G36))</f>
        <v/>
      </c>
      <c r="I36" s="23"/>
      <c r="J36" s="23"/>
      <c r="K36" s="112" t="str">
        <f ca="1">IF(G36=0,"",INDEX(aRoundedScores,G36,iCityP!$B$1))</f>
        <v/>
      </c>
      <c r="L36" s="23"/>
      <c r="M36" s="23">
        <f ca="1">iCityP!Q32</f>
        <v>0</v>
      </c>
      <c r="N36" s="23" t="str">
        <f ca="1">IF(M36=0,"",INDEX(tblIndicators!$Z$2:$Z$58,M36))</f>
        <v/>
      </c>
      <c r="O36" s="23"/>
      <c r="P36" s="112" t="str">
        <f ca="1">IF(M36=0,"",INDEX(aRoundedScores,M36,iCityP!$B$1))</f>
        <v/>
      </c>
    </row>
    <row r="37" spans="2:16">
      <c r="B37">
        <f ca="1">iCityP!O33</f>
        <v>0</v>
      </c>
      <c r="C37" s="23" t="str">
        <f ca="1">IF(B37=0,"",INDEX(tblIndicators!$Z$2:$Z$58,B37))</f>
        <v/>
      </c>
      <c r="D37" s="23"/>
      <c r="E37" s="112" t="str">
        <f ca="1">IF(B37=0,"",INDEX(aRoundedScores,B37,iCityP!$B$1))</f>
        <v/>
      </c>
      <c r="F37" s="23"/>
      <c r="G37" s="23">
        <f ca="1">iCityP!P33</f>
        <v>0</v>
      </c>
      <c r="H37" s="23" t="str">
        <f ca="1">IF(G37=0,"",INDEX(tblIndicators!$Z$2:$Z$58,G37))</f>
        <v/>
      </c>
      <c r="I37" s="23"/>
      <c r="J37" s="23"/>
      <c r="K37" s="112" t="str">
        <f ca="1">IF(G37=0,"",INDEX(aRoundedScores,G37,iCityP!$B$1))</f>
        <v/>
      </c>
      <c r="L37" s="23"/>
      <c r="M37" s="23">
        <f ca="1">iCityP!Q33</f>
        <v>0</v>
      </c>
      <c r="N37" s="23" t="str">
        <f ca="1">IF(M37=0,"",INDEX(tblIndicators!$Z$2:$Z$58,M37))</f>
        <v/>
      </c>
      <c r="O37" s="23"/>
      <c r="P37" s="112" t="str">
        <f ca="1">IF(M37=0,"",INDEX(aRoundedScores,M37,iCityP!$B$1))</f>
        <v/>
      </c>
    </row>
    <row r="38" spans="2:16">
      <c r="B38">
        <f ca="1">iCityP!O34</f>
        <v>0</v>
      </c>
      <c r="C38" s="23" t="str">
        <f ca="1">IF(B38=0,"",INDEX(tblIndicators!$Z$2:$Z$58,B38))</f>
        <v/>
      </c>
      <c r="D38" s="23"/>
      <c r="E38" s="112" t="str">
        <f ca="1">IF(B38=0,"",INDEX(aRoundedScores,B38,iCityP!$B$1))</f>
        <v/>
      </c>
      <c r="F38" s="23"/>
      <c r="G38" s="23">
        <f ca="1">iCityP!P34</f>
        <v>0</v>
      </c>
      <c r="H38" s="23" t="str">
        <f ca="1">IF(G38=0,"",INDEX(tblIndicators!$Z$2:$Z$58,G38))</f>
        <v/>
      </c>
      <c r="I38" s="23"/>
      <c r="J38" s="23"/>
      <c r="K38" s="112" t="str">
        <f ca="1">IF(G38=0,"",INDEX(aRoundedScores,G38,iCityP!$B$1))</f>
        <v/>
      </c>
      <c r="L38" s="23"/>
      <c r="M38" s="23">
        <f ca="1">iCityP!Q34</f>
        <v>0</v>
      </c>
      <c r="N38" s="23" t="str">
        <f ca="1">IF(M38=0,"",INDEX(tblIndicators!$Z$2:$Z$58,M38))</f>
        <v/>
      </c>
      <c r="O38" s="23"/>
      <c r="P38" s="112" t="str">
        <f ca="1">IF(M38=0,"",INDEX(aRoundedScores,M38,iCityP!$B$1))</f>
        <v/>
      </c>
    </row>
    <row r="39" spans="2:16">
      <c r="B39">
        <f ca="1">iCityP!O35</f>
        <v>0</v>
      </c>
      <c r="C39" s="23" t="str">
        <f ca="1">IF(B39=0,"",INDEX(tblIndicators!$Z$2:$Z$58,B39))</f>
        <v/>
      </c>
      <c r="D39" s="23"/>
      <c r="E39" s="112" t="str">
        <f ca="1">IF(B39=0,"",INDEX(aRoundedScores,B39,iCityP!$B$1))</f>
        <v/>
      </c>
      <c r="F39" s="23"/>
      <c r="G39" s="23">
        <f ca="1">iCityP!P35</f>
        <v>0</v>
      </c>
      <c r="H39" s="23" t="str">
        <f ca="1">IF(G39=0,"",INDEX(tblIndicators!$Z$2:$Z$58,G39))</f>
        <v/>
      </c>
      <c r="I39" s="23"/>
      <c r="J39" s="23"/>
      <c r="K39" s="112" t="str">
        <f ca="1">IF(G39=0,"",INDEX(aRoundedScores,G39,iCityP!$B$1))</f>
        <v/>
      </c>
      <c r="L39" s="23"/>
      <c r="M39" s="23">
        <f ca="1">iCityP!Q35</f>
        <v>0</v>
      </c>
      <c r="N39" s="23" t="str">
        <f ca="1">IF(M39=0,"",INDEX(tblIndicators!$Z$2:$Z$58,M39))</f>
        <v/>
      </c>
      <c r="O39" s="23"/>
      <c r="P39" s="112" t="str">
        <f ca="1">IF(M39=0,"",INDEX(aRoundedScores,M39,iCityP!$B$1))</f>
        <v/>
      </c>
    </row>
    <row r="40" spans="2:16">
      <c r="B40">
        <f ca="1">iCityP!O36</f>
        <v>0</v>
      </c>
      <c r="C40" s="23" t="str">
        <f ca="1">IF(B40=0,"",INDEX(tblIndicators!$Z$2:$Z$58,B40))</f>
        <v/>
      </c>
      <c r="D40" s="23"/>
      <c r="E40" s="112" t="str">
        <f ca="1">IF(B40=0,"",INDEX(aRoundedScores,B40,iCityP!$B$1))</f>
        <v/>
      </c>
      <c r="F40" s="23"/>
      <c r="G40" s="23">
        <f ca="1">iCityP!P36</f>
        <v>0</v>
      </c>
      <c r="H40" s="23" t="str">
        <f ca="1">IF(G40=0,"",INDEX(tblIndicators!$Z$2:$Z$58,G40))</f>
        <v/>
      </c>
      <c r="I40" s="23"/>
      <c r="J40" s="23"/>
      <c r="K40" s="112" t="str">
        <f ca="1">IF(G40=0,"",INDEX(aRoundedScores,G40,iCityP!$B$1))</f>
        <v/>
      </c>
      <c r="L40" s="23"/>
      <c r="M40" s="23">
        <f ca="1">iCityP!Q36</f>
        <v>0</v>
      </c>
      <c r="N40" s="23" t="str">
        <f ca="1">IF(M40=0,"",INDEX(tblIndicators!$Z$2:$Z$58,M40))</f>
        <v/>
      </c>
      <c r="O40" s="23"/>
      <c r="P40" s="112" t="str">
        <f ca="1">IF(M40=0,"",INDEX(aRoundedScores,M40,iCityP!$B$1))</f>
        <v/>
      </c>
    </row>
    <row r="41" spans="2:16">
      <c r="B41">
        <f ca="1">iCityP!O37</f>
        <v>0</v>
      </c>
      <c r="C41" s="23" t="str">
        <f ca="1">IF(B41=0,"",INDEX(tblIndicators!$Z$2:$Z$58,B41))</f>
        <v/>
      </c>
      <c r="D41" s="23"/>
      <c r="E41" s="112" t="str">
        <f ca="1">IF(B41=0,"",INDEX(aRoundedScores,B41,iCityP!$B$1))</f>
        <v/>
      </c>
      <c r="F41" s="23"/>
      <c r="G41" s="23">
        <f ca="1">iCityP!P37</f>
        <v>0</v>
      </c>
      <c r="H41" s="23" t="str">
        <f ca="1">IF(G41=0,"",INDEX(tblIndicators!$Z$2:$Z$58,G41))</f>
        <v/>
      </c>
      <c r="I41" s="23"/>
      <c r="J41" s="23"/>
      <c r="K41" s="112" t="str">
        <f ca="1">IF(G41=0,"",INDEX(aRoundedScores,G41,iCityP!$B$1))</f>
        <v/>
      </c>
      <c r="L41" s="23"/>
      <c r="M41" s="23">
        <f ca="1">iCityP!Q37</f>
        <v>0</v>
      </c>
      <c r="N41" s="23" t="str">
        <f ca="1">IF(M41=0,"",INDEX(tblIndicators!$Z$2:$Z$58,M41))</f>
        <v/>
      </c>
      <c r="O41" s="23"/>
      <c r="P41" s="112" t="str">
        <f ca="1">IF(M41=0,"",INDEX(aRoundedScores,M41,iCityP!$B$1))</f>
        <v/>
      </c>
    </row>
    <row r="42" spans="2:16">
      <c r="B42">
        <f ca="1">iCityP!O38</f>
        <v>0</v>
      </c>
      <c r="C42" s="23" t="str">
        <f ca="1">IF(B42=0,"",INDEX(tblIndicators!$Z$2:$Z$58,B42))</f>
        <v/>
      </c>
      <c r="D42" s="23"/>
      <c r="E42" s="112" t="str">
        <f ca="1">IF(B42=0,"",INDEX(aRoundedScores,B42,iCityP!$B$1))</f>
        <v/>
      </c>
      <c r="F42" s="23"/>
      <c r="G42" s="23">
        <f ca="1">iCityP!P38</f>
        <v>0</v>
      </c>
      <c r="H42" s="23" t="str">
        <f ca="1">IF(G42=0,"",INDEX(tblIndicators!$Z$2:$Z$58,G42))</f>
        <v/>
      </c>
      <c r="I42" s="23"/>
      <c r="J42" s="23"/>
      <c r="K42" s="112" t="str">
        <f ca="1">IF(G42=0,"",INDEX(aRoundedScores,G42,iCityP!$B$1))</f>
        <v/>
      </c>
      <c r="L42" s="23"/>
      <c r="M42" s="23">
        <f ca="1">iCityP!Q38</f>
        <v>0</v>
      </c>
      <c r="N42" s="23" t="str">
        <f ca="1">IF(M42=0,"",INDEX(tblIndicators!$Z$2:$Z$58,M42))</f>
        <v/>
      </c>
      <c r="O42" s="23"/>
      <c r="P42" s="112" t="str">
        <f ca="1">IF(M42=0,"",INDEX(aRoundedScores,M42,iCityP!$B$1))</f>
        <v/>
      </c>
    </row>
    <row r="43" spans="2:16">
      <c r="B43">
        <f ca="1">iCityP!O39</f>
        <v>0</v>
      </c>
      <c r="C43" s="23" t="str">
        <f ca="1">IF(B43=0,"",INDEX(tblIndicators!$Z$2:$Z$58,B43))</f>
        <v/>
      </c>
      <c r="D43" s="23"/>
      <c r="E43" s="112" t="str">
        <f ca="1">IF(B43=0,"",INDEX(aRoundedScores,B43,iCityP!$B$1))</f>
        <v/>
      </c>
      <c r="F43" s="23"/>
      <c r="G43" s="23">
        <f ca="1">iCityP!P39</f>
        <v>0</v>
      </c>
      <c r="H43" s="23" t="str">
        <f ca="1">IF(G43=0,"",INDEX(tblIndicators!$Z$2:$Z$58,G43))</f>
        <v/>
      </c>
      <c r="I43" s="23"/>
      <c r="J43" s="23"/>
      <c r="K43" s="112" t="str">
        <f ca="1">IF(G43=0,"",INDEX(aRoundedScores,G43,iCityP!$B$1))</f>
        <v/>
      </c>
      <c r="L43" s="23"/>
      <c r="M43" s="23">
        <f ca="1">iCityP!Q39</f>
        <v>0</v>
      </c>
      <c r="N43" s="23" t="str">
        <f ca="1">IF(M43=0,"",INDEX(tblIndicators!$Z$2:$Z$58,M43))</f>
        <v/>
      </c>
      <c r="O43" s="23"/>
      <c r="P43" s="112" t="str">
        <f ca="1">IF(M43=0,"",INDEX(aRoundedScores,M43,iCityP!$B$1))</f>
        <v/>
      </c>
    </row>
    <row r="44" spans="2:16">
      <c r="B44">
        <f ca="1">iCityP!O40</f>
        <v>0</v>
      </c>
      <c r="C44" s="23" t="str">
        <f ca="1">IF(B44=0,"",INDEX(tblIndicators!$Z$2:$Z$58,B44))</f>
        <v/>
      </c>
      <c r="D44" s="23"/>
      <c r="E44" s="112" t="str">
        <f ca="1">IF(B44=0,"",INDEX(aRoundedScores,B44,iCityP!$B$1))</f>
        <v/>
      </c>
      <c r="F44" s="23"/>
      <c r="G44" s="23">
        <f ca="1">iCityP!P40</f>
        <v>0</v>
      </c>
      <c r="H44" s="23" t="str">
        <f ca="1">IF(G44=0,"",INDEX(tblIndicators!$Z$2:$Z$58,G44))</f>
        <v/>
      </c>
      <c r="I44" s="23"/>
      <c r="J44" s="23"/>
      <c r="K44" s="112" t="str">
        <f ca="1">IF(G44=0,"",INDEX(aRoundedScores,G44,iCityP!$B$1))</f>
        <v/>
      </c>
      <c r="L44" s="23"/>
      <c r="M44" s="23">
        <f ca="1">iCityP!Q40</f>
        <v>0</v>
      </c>
      <c r="N44" s="23" t="str">
        <f ca="1">IF(M44=0,"",INDEX(tblIndicators!$Z$2:$Z$58,M44))</f>
        <v/>
      </c>
      <c r="O44" s="23"/>
      <c r="P44" s="112" t="str">
        <f ca="1">IF(M44=0,"",INDEX(aRoundedScores,M44,iCityP!$B$1))</f>
        <v/>
      </c>
    </row>
    <row r="45" spans="2:16">
      <c r="B45">
        <f ca="1">iCityP!O41</f>
        <v>0</v>
      </c>
      <c r="C45" s="23" t="str">
        <f ca="1">IF(B45=0,"",INDEX(tblIndicators!$Z$2:$Z$58,B45))</f>
        <v/>
      </c>
      <c r="D45" s="23"/>
      <c r="E45" s="112" t="str">
        <f ca="1">IF(B45=0,"",INDEX(aRoundedScores,B45,iCityP!$B$1))</f>
        <v/>
      </c>
      <c r="F45" s="23"/>
      <c r="G45" s="23">
        <f ca="1">iCityP!P41</f>
        <v>0</v>
      </c>
      <c r="H45" s="23" t="str">
        <f ca="1">IF(G45=0,"",INDEX(tblIndicators!$Z$2:$Z$58,G45))</f>
        <v/>
      </c>
      <c r="I45" s="23"/>
      <c r="J45" s="23"/>
      <c r="K45" s="112" t="str">
        <f ca="1">IF(G45=0,"",INDEX(aRoundedScores,G45,iCityP!$B$1))</f>
        <v/>
      </c>
      <c r="L45" s="23"/>
      <c r="M45" s="23">
        <f ca="1">iCityP!Q41</f>
        <v>0</v>
      </c>
      <c r="N45" s="23" t="str">
        <f ca="1">IF(M45=0,"",INDEX(tblIndicators!$Z$2:$Z$58,M45))</f>
        <v/>
      </c>
      <c r="O45" s="23"/>
      <c r="P45" s="112" t="str">
        <f ca="1">IF(M45=0,"",INDEX(aRoundedScores,M45,iCityP!$B$1))</f>
        <v/>
      </c>
    </row>
    <row r="46" spans="2:16">
      <c r="B46">
        <f ca="1">iCityP!O42</f>
        <v>0</v>
      </c>
      <c r="C46" s="23" t="str">
        <f ca="1">IF(B46=0,"",INDEX(tblIndicators!$Z$2:$Z$58,B46))</f>
        <v/>
      </c>
      <c r="D46" s="23"/>
      <c r="E46" s="112" t="str">
        <f ca="1">IF(B46=0,"",INDEX(aRoundedScores,B46,iCityP!$B$1))</f>
        <v/>
      </c>
      <c r="F46" s="23"/>
      <c r="G46" s="23">
        <f ca="1">iCityP!P42</f>
        <v>0</v>
      </c>
      <c r="H46" s="23" t="str">
        <f ca="1">IF(G46=0,"",INDEX(tblIndicators!$Z$2:$Z$58,G46))</f>
        <v/>
      </c>
      <c r="I46" s="23"/>
      <c r="J46" s="23"/>
      <c r="K46" s="112" t="str">
        <f ca="1">IF(G46=0,"",INDEX(aRoundedScores,G46,iCityP!$B$1))</f>
        <v/>
      </c>
      <c r="L46" s="23"/>
      <c r="M46" s="23">
        <f ca="1">iCityP!Q42</f>
        <v>0</v>
      </c>
      <c r="N46" s="23" t="str">
        <f ca="1">IF(M46=0,"",INDEX(tblIndicators!$Z$2:$Z$58,M46))</f>
        <v/>
      </c>
      <c r="O46" s="23"/>
      <c r="P46" s="112" t="str">
        <f ca="1">IF(M46=0,"",INDEX(aRoundedScores,M46,iCityP!$B$1))</f>
        <v/>
      </c>
    </row>
    <row r="47" spans="2:16">
      <c r="B47">
        <f ca="1">iCityP!O43</f>
        <v>0</v>
      </c>
      <c r="C47" s="23" t="str">
        <f ca="1">IF(B47=0,"",INDEX(tblIndicators!$Z$2:$Z$58,B47))</f>
        <v/>
      </c>
      <c r="D47" s="23"/>
      <c r="E47" s="112" t="str">
        <f ca="1">IF(B47=0,"",INDEX(aRoundedScores,B47,iCityP!$B$1))</f>
        <v/>
      </c>
      <c r="F47" s="23"/>
      <c r="G47" s="23">
        <f ca="1">iCityP!P43</f>
        <v>0</v>
      </c>
      <c r="H47" s="23" t="str">
        <f ca="1">IF(G47=0,"",INDEX(tblIndicators!$Z$2:$Z$58,G47))</f>
        <v/>
      </c>
      <c r="I47" s="23"/>
      <c r="J47" s="23"/>
      <c r="K47" s="112" t="str">
        <f ca="1">IF(G47=0,"",INDEX(aRoundedScores,G47,iCityP!$B$1))</f>
        <v/>
      </c>
      <c r="L47" s="23"/>
      <c r="M47" s="23">
        <f ca="1">iCityP!Q43</f>
        <v>0</v>
      </c>
      <c r="N47" s="23" t="str">
        <f ca="1">IF(M47=0,"",INDEX(tblIndicators!$Z$2:$Z$58,M47))</f>
        <v/>
      </c>
      <c r="O47" s="23"/>
      <c r="P47" s="112" t="str">
        <f ca="1">IF(M47=0,"",INDEX(aRoundedScores,M47,iCityP!$B$1))</f>
        <v/>
      </c>
    </row>
    <row r="48" spans="3:16">
      <c r="C48" s="23"/>
      <c r="D48" s="23"/>
      <c r="E48" s="23"/>
      <c r="F48" s="23"/>
      <c r="G48" s="23"/>
      <c r="H48" s="23"/>
      <c r="I48" s="23"/>
      <c r="J48" s="23"/>
      <c r="K48" s="23"/>
      <c r="L48" s="23"/>
      <c r="M48" s="23"/>
      <c r="N48" s="23"/>
      <c r="O48" s="23"/>
      <c r="P48" s="23"/>
    </row>
    <row r="49" spans="3:16">
      <c r="C49" s="23"/>
      <c r="D49" s="23"/>
      <c r="E49" s="23"/>
      <c r="F49" s="23"/>
      <c r="G49" s="23"/>
      <c r="H49" s="23"/>
      <c r="I49" s="23"/>
      <c r="J49" s="23"/>
      <c r="K49" s="23"/>
      <c r="L49" s="23"/>
      <c r="M49" s="23"/>
      <c r="N49" s="23"/>
      <c r="O49" s="23"/>
      <c r="P49" s="23"/>
    </row>
    <row r="50" spans="3:16">
      <c r="C50" s="23"/>
      <c r="D50" s="23"/>
      <c r="E50" s="23"/>
      <c r="F50" s="23"/>
      <c r="G50" s="23"/>
      <c r="H50" s="23"/>
      <c r="I50" s="23"/>
      <c r="J50" s="23"/>
      <c r="K50" s="23"/>
      <c r="L50" s="23"/>
      <c r="M50" s="23"/>
      <c r="N50" s="23"/>
      <c r="O50" s="23"/>
      <c r="P50" s="23"/>
    </row>
  </sheetData>
  <sheetProtection sheet="1" selectLockedCells="1" selectUnlockedCells="1" objects="1" scenarios="1"/>
  <pageMargins left="0.708661417322835" right="0.708661417322835" top="0.748031496062992" bottom="0.748031496062992" header="0.31496062992126" footer="0.31496062992126"/>
  <pageSetup paperSize="1" scale="75" orientation="landscape"/>
  <headerFooter>
    <oddHeader>&amp;R&amp;"Calibri,Regular"&amp;10&amp;K808080EIU SAFE CITY INDEX 2014</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587808" name="cnt_Country_1" r:id="rId3">
              <controlPr print="0" defaultSize="0">
                <anchor>
                  <from>
                    <xdr:col>0</xdr:col>
                    <xdr:colOff>123825</xdr:colOff>
                    <xdr:row>2</xdr:row>
                    <xdr:rowOff>228600</xdr:rowOff>
                  </from>
                  <to>
                    <xdr:col>2</xdr:col>
                    <xdr:colOff>933450</xdr:colOff>
                    <xdr:row>2</xdr:row>
                    <xdr:rowOff>428625</xdr:rowOff>
                  </to>
                </anchor>
              </controlPr>
            </control>
          </mc:Choice>
        </mc:AlternateContent>
        <mc:AlternateContent xmlns:mc="http://schemas.openxmlformats.org/markup-compatibility/2006">
          <mc:Choice Requires="x14">
            <control shapeId="587809" name="cnt_group_by" r:id="rId4">
              <controlPr print="0" defaultSize="0">
                <anchor>
                  <from>
                    <xdr:col>2</xdr:col>
                    <xdr:colOff>1066800</xdr:colOff>
                    <xdr:row>2</xdr:row>
                    <xdr:rowOff>228600</xdr:rowOff>
                  </from>
                  <to>
                    <xdr:col>2</xdr:col>
                    <xdr:colOff>2486025</xdr:colOff>
                    <xdr:row>2</xdr:row>
                    <xdr:rowOff>438150</xdr:rowOff>
                  </to>
                </anchor>
              </controlPr>
            </control>
          </mc:Choice>
        </mc:AlternateContent>
        <mc:AlternateContent xmlns:mc="http://schemas.openxmlformats.org/markup-compatibility/2006">
          <mc:Choice Requires="x14">
            <control shapeId="587810" name="Check Box 34" r:id="rId5">
              <controlPr defaultSize="0">
                <anchor moveWithCells="1">
                  <from>
                    <xdr:col>13</xdr:col>
                    <xdr:colOff>1552575</xdr:colOff>
                    <xdr:row>2</xdr:row>
                    <xdr:rowOff>123825</xdr:rowOff>
                  </from>
                  <to>
                    <xdr:col>15</xdr:col>
                    <xdr:colOff>552450</xdr:colOff>
                    <xdr:row>2</xdr:row>
                    <xdr:rowOff>342900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M155"/>
  <sheetViews>
    <sheetView showGridLines="0" showRowColHeaders="0" workbookViewId="0">
      <selection activeCell="A1" sqref="A1"/>
    </sheetView>
  </sheetViews>
  <sheetFormatPr defaultColWidth="9" defaultRowHeight="15"/>
  <cols>
    <col min="1" max="1" width="4.71428571428571" customWidth="1"/>
    <col min="2" max="2" width="4.85714285714286" hidden="1" customWidth="1"/>
    <col min="3" max="3" width="3.14285714285714" hidden="1" customWidth="1"/>
    <col min="4" max="4" width="79" customWidth="1"/>
    <col min="5" max="5" width="9.85714285714286" customWidth="1"/>
    <col min="6" max="6" width="15.1428571428571" customWidth="1"/>
    <col min="7" max="7" width="10.1428571428571" customWidth="1"/>
    <col min="8" max="10" width="9.71428571428571" customWidth="1"/>
    <col min="11" max="11" width="21.4285714285714" customWidth="1"/>
    <col min="12" max="12" width="16.7142857142857" customWidth="1"/>
    <col min="13" max="13" width="9.85714285714286" customWidth="1"/>
    <col min="14" max="14" width="7.42857142857143" customWidth="1"/>
    <col min="15" max="15" width="12" customWidth="1"/>
    <col min="16" max="16" width="2.42857142857143" customWidth="1"/>
    <col min="17" max="17" width="8.42857142857143" hidden="1" customWidth="1"/>
    <col min="18" max="18" width="2.14285714285714" hidden="1" customWidth="1"/>
    <col min="19" max="19" width="10.4285714285714" hidden="1" customWidth="1"/>
    <col min="20" max="20" width="2.14285714285714" hidden="1" customWidth="1"/>
    <col min="21" max="21" width="7.71428571428571" customWidth="1"/>
    <col min="22" max="22" width="2.71428571428571" customWidth="1"/>
    <col min="24" max="24" width="12.7142857142857" customWidth="1"/>
    <col min="253" max="253" width="4.71428571428571" customWidth="1"/>
    <col min="254" max="254" width="9" hidden="1" customWidth="1"/>
    <col min="255" max="255" width="0.142857142857143" customWidth="1"/>
    <col min="256" max="256" width="79" customWidth="1"/>
    <col min="257" max="257" width="9.85714285714286" customWidth="1"/>
    <col min="258" max="258" width="15.1428571428571" customWidth="1"/>
    <col min="259" max="259" width="10.1428571428571" customWidth="1"/>
    <col min="260" max="262" width="9.71428571428571" customWidth="1"/>
    <col min="263" max="263" width="10.8571428571429" customWidth="1"/>
    <col min="264" max="264" width="9.71428571428571" customWidth="1"/>
    <col min="265" max="265" width="9.85714285714286" customWidth="1"/>
    <col min="266" max="266" width="7.42857142857143" customWidth="1"/>
    <col min="267" max="267" width="21.4285714285714" customWidth="1"/>
    <col min="268" max="268" width="27.8571428571429" customWidth="1"/>
    <col min="269" max="269" width="9.85714285714286" customWidth="1"/>
    <col min="270" max="270" width="7.42857142857143" customWidth="1"/>
    <col min="271" max="271" width="12" customWidth="1"/>
    <col min="272" max="272" width="2.42857142857143" customWidth="1"/>
    <col min="273" max="276" width="9" hidden="1" customWidth="1"/>
    <col min="277" max="277" width="7.71428571428571" customWidth="1"/>
    <col min="278" max="278" width="2.71428571428571" customWidth="1"/>
    <col min="280" max="280" width="12.7142857142857" customWidth="1"/>
    <col min="509" max="509" width="4.71428571428571" customWidth="1"/>
    <col min="510" max="510" width="9" hidden="1" customWidth="1"/>
    <col min="511" max="511" width="0.142857142857143" customWidth="1"/>
    <col min="512" max="512" width="79" customWidth="1"/>
    <col min="513" max="513" width="9.85714285714286" customWidth="1"/>
    <col min="514" max="514" width="15.1428571428571" customWidth="1"/>
    <col min="515" max="515" width="10.1428571428571" customWidth="1"/>
    <col min="516" max="518" width="9.71428571428571" customWidth="1"/>
    <col min="519" max="519" width="10.8571428571429" customWidth="1"/>
    <col min="520" max="520" width="9.71428571428571" customWidth="1"/>
    <col min="521" max="521" width="9.85714285714286" customWidth="1"/>
    <col min="522" max="522" width="7.42857142857143" customWidth="1"/>
    <col min="523" max="523" width="21.4285714285714" customWidth="1"/>
    <col min="524" max="524" width="27.8571428571429" customWidth="1"/>
    <col min="525" max="525" width="9.85714285714286" customWidth="1"/>
    <col min="526" max="526" width="7.42857142857143" customWidth="1"/>
    <col min="527" max="527" width="12" customWidth="1"/>
    <col min="528" max="528" width="2.42857142857143" customWidth="1"/>
    <col min="529" max="532" width="9" hidden="1" customWidth="1"/>
    <col min="533" max="533" width="7.71428571428571" customWidth="1"/>
    <col min="534" max="534" width="2.71428571428571" customWidth="1"/>
    <col min="536" max="536" width="12.7142857142857" customWidth="1"/>
    <col min="765" max="765" width="4.71428571428571" customWidth="1"/>
    <col min="766" max="766" width="9" hidden="1" customWidth="1"/>
    <col min="767" max="767" width="0.142857142857143" customWidth="1"/>
    <col min="768" max="768" width="79" customWidth="1"/>
    <col min="769" max="769" width="9.85714285714286" customWidth="1"/>
    <col min="770" max="770" width="15.1428571428571" customWidth="1"/>
    <col min="771" max="771" width="10.1428571428571" customWidth="1"/>
    <col min="772" max="774" width="9.71428571428571" customWidth="1"/>
    <col min="775" max="775" width="10.8571428571429" customWidth="1"/>
    <col min="776" max="776" width="9.71428571428571" customWidth="1"/>
    <col min="777" max="777" width="9.85714285714286" customWidth="1"/>
    <col min="778" max="778" width="7.42857142857143" customWidth="1"/>
    <col min="779" max="779" width="21.4285714285714" customWidth="1"/>
    <col min="780" max="780" width="27.8571428571429" customWidth="1"/>
    <col min="781" max="781" width="9.85714285714286" customWidth="1"/>
    <col min="782" max="782" width="7.42857142857143" customWidth="1"/>
    <col min="783" max="783" width="12" customWidth="1"/>
    <col min="784" max="784" width="2.42857142857143" customWidth="1"/>
    <col min="785" max="788" width="9" hidden="1" customWidth="1"/>
    <col min="789" max="789" width="7.71428571428571" customWidth="1"/>
    <col min="790" max="790" width="2.71428571428571" customWidth="1"/>
    <col min="792" max="792" width="12.7142857142857" customWidth="1"/>
    <col min="1021" max="1021" width="4.71428571428571" customWidth="1"/>
    <col min="1022" max="1022" width="9" hidden="1" customWidth="1"/>
    <col min="1023" max="1023" width="0.142857142857143" customWidth="1"/>
    <col min="1024" max="1024" width="79" customWidth="1"/>
    <col min="1025" max="1025" width="9.85714285714286" customWidth="1"/>
    <col min="1026" max="1026" width="15.1428571428571" customWidth="1"/>
    <col min="1027" max="1027" width="10.1428571428571" customWidth="1"/>
    <col min="1028" max="1030" width="9.71428571428571" customWidth="1"/>
    <col min="1031" max="1031" width="10.8571428571429" customWidth="1"/>
    <col min="1032" max="1032" width="9.71428571428571" customWidth="1"/>
    <col min="1033" max="1033" width="9.85714285714286" customWidth="1"/>
    <col min="1034" max="1034" width="7.42857142857143" customWidth="1"/>
    <col min="1035" max="1035" width="21.4285714285714" customWidth="1"/>
    <col min="1036" max="1036" width="27.8571428571429" customWidth="1"/>
    <col min="1037" max="1037" width="9.85714285714286" customWidth="1"/>
    <col min="1038" max="1038" width="7.42857142857143" customWidth="1"/>
    <col min="1039" max="1039" width="12" customWidth="1"/>
    <col min="1040" max="1040" width="2.42857142857143" customWidth="1"/>
    <col min="1041" max="1044" width="9" hidden="1" customWidth="1"/>
    <col min="1045" max="1045" width="7.71428571428571" customWidth="1"/>
    <col min="1046" max="1046" width="2.71428571428571" customWidth="1"/>
    <col min="1048" max="1048" width="12.7142857142857" customWidth="1"/>
    <col min="1277" max="1277" width="4.71428571428571" customWidth="1"/>
    <col min="1278" max="1278" width="9" hidden="1" customWidth="1"/>
    <col min="1279" max="1279" width="0.142857142857143" customWidth="1"/>
    <col min="1280" max="1280" width="79" customWidth="1"/>
    <col min="1281" max="1281" width="9.85714285714286" customWidth="1"/>
    <col min="1282" max="1282" width="15.1428571428571" customWidth="1"/>
    <col min="1283" max="1283" width="10.1428571428571" customWidth="1"/>
    <col min="1284" max="1286" width="9.71428571428571" customWidth="1"/>
    <col min="1287" max="1287" width="10.8571428571429" customWidth="1"/>
    <col min="1288" max="1288" width="9.71428571428571" customWidth="1"/>
    <col min="1289" max="1289" width="9.85714285714286" customWidth="1"/>
    <col min="1290" max="1290" width="7.42857142857143" customWidth="1"/>
    <col min="1291" max="1291" width="21.4285714285714" customWidth="1"/>
    <col min="1292" max="1292" width="27.8571428571429" customWidth="1"/>
    <col min="1293" max="1293" width="9.85714285714286" customWidth="1"/>
    <col min="1294" max="1294" width="7.42857142857143" customWidth="1"/>
    <col min="1295" max="1295" width="12" customWidth="1"/>
    <col min="1296" max="1296" width="2.42857142857143" customWidth="1"/>
    <col min="1297" max="1300" width="9" hidden="1" customWidth="1"/>
    <col min="1301" max="1301" width="7.71428571428571" customWidth="1"/>
    <col min="1302" max="1302" width="2.71428571428571" customWidth="1"/>
    <col min="1304" max="1304" width="12.7142857142857" customWidth="1"/>
    <col min="1533" max="1533" width="4.71428571428571" customWidth="1"/>
    <col min="1534" max="1534" width="9" hidden="1" customWidth="1"/>
    <col min="1535" max="1535" width="0.142857142857143" customWidth="1"/>
    <col min="1536" max="1536" width="79" customWidth="1"/>
    <col min="1537" max="1537" width="9.85714285714286" customWidth="1"/>
    <col min="1538" max="1538" width="15.1428571428571" customWidth="1"/>
    <col min="1539" max="1539" width="10.1428571428571" customWidth="1"/>
    <col min="1540" max="1542" width="9.71428571428571" customWidth="1"/>
    <col min="1543" max="1543" width="10.8571428571429" customWidth="1"/>
    <col min="1544" max="1544" width="9.71428571428571" customWidth="1"/>
    <col min="1545" max="1545" width="9.85714285714286" customWidth="1"/>
    <col min="1546" max="1546" width="7.42857142857143" customWidth="1"/>
    <col min="1547" max="1547" width="21.4285714285714" customWidth="1"/>
    <col min="1548" max="1548" width="27.8571428571429" customWidth="1"/>
    <col min="1549" max="1549" width="9.85714285714286" customWidth="1"/>
    <col min="1550" max="1550" width="7.42857142857143" customWidth="1"/>
    <col min="1551" max="1551" width="12" customWidth="1"/>
    <col min="1552" max="1552" width="2.42857142857143" customWidth="1"/>
    <col min="1553" max="1556" width="9" hidden="1" customWidth="1"/>
    <col min="1557" max="1557" width="7.71428571428571" customWidth="1"/>
    <col min="1558" max="1558" width="2.71428571428571" customWidth="1"/>
    <col min="1560" max="1560" width="12.7142857142857" customWidth="1"/>
    <col min="1789" max="1789" width="4.71428571428571" customWidth="1"/>
    <col min="1790" max="1790" width="9" hidden="1" customWidth="1"/>
    <col min="1791" max="1791" width="0.142857142857143" customWidth="1"/>
    <col min="1792" max="1792" width="79" customWidth="1"/>
    <col min="1793" max="1793" width="9.85714285714286" customWidth="1"/>
    <col min="1794" max="1794" width="15.1428571428571" customWidth="1"/>
    <col min="1795" max="1795" width="10.1428571428571" customWidth="1"/>
    <col min="1796" max="1798" width="9.71428571428571" customWidth="1"/>
    <col min="1799" max="1799" width="10.8571428571429" customWidth="1"/>
    <col min="1800" max="1800" width="9.71428571428571" customWidth="1"/>
    <col min="1801" max="1801" width="9.85714285714286" customWidth="1"/>
    <col min="1802" max="1802" width="7.42857142857143" customWidth="1"/>
    <col min="1803" max="1803" width="21.4285714285714" customWidth="1"/>
    <col min="1804" max="1804" width="27.8571428571429" customWidth="1"/>
    <col min="1805" max="1805" width="9.85714285714286" customWidth="1"/>
    <col min="1806" max="1806" width="7.42857142857143" customWidth="1"/>
    <col min="1807" max="1807" width="12" customWidth="1"/>
    <col min="1808" max="1808" width="2.42857142857143" customWidth="1"/>
    <col min="1809" max="1812" width="9" hidden="1" customWidth="1"/>
    <col min="1813" max="1813" width="7.71428571428571" customWidth="1"/>
    <col min="1814" max="1814" width="2.71428571428571" customWidth="1"/>
    <col min="1816" max="1816" width="12.7142857142857" customWidth="1"/>
    <col min="2045" max="2045" width="4.71428571428571" customWidth="1"/>
    <col min="2046" max="2046" width="9" hidden="1" customWidth="1"/>
    <col min="2047" max="2047" width="0.142857142857143" customWidth="1"/>
    <col min="2048" max="2048" width="79" customWidth="1"/>
    <col min="2049" max="2049" width="9.85714285714286" customWidth="1"/>
    <col min="2050" max="2050" width="15.1428571428571" customWidth="1"/>
    <col min="2051" max="2051" width="10.1428571428571" customWidth="1"/>
    <col min="2052" max="2054" width="9.71428571428571" customWidth="1"/>
    <col min="2055" max="2055" width="10.8571428571429" customWidth="1"/>
    <col min="2056" max="2056" width="9.71428571428571" customWidth="1"/>
    <col min="2057" max="2057" width="9.85714285714286" customWidth="1"/>
    <col min="2058" max="2058" width="7.42857142857143" customWidth="1"/>
    <col min="2059" max="2059" width="21.4285714285714" customWidth="1"/>
    <col min="2060" max="2060" width="27.8571428571429" customWidth="1"/>
    <col min="2061" max="2061" width="9.85714285714286" customWidth="1"/>
    <col min="2062" max="2062" width="7.42857142857143" customWidth="1"/>
    <col min="2063" max="2063" width="12" customWidth="1"/>
    <col min="2064" max="2064" width="2.42857142857143" customWidth="1"/>
    <col min="2065" max="2068" width="9" hidden="1" customWidth="1"/>
    <col min="2069" max="2069" width="7.71428571428571" customWidth="1"/>
    <col min="2070" max="2070" width="2.71428571428571" customWidth="1"/>
    <col min="2072" max="2072" width="12.7142857142857" customWidth="1"/>
    <col min="2301" max="2301" width="4.71428571428571" customWidth="1"/>
    <col min="2302" max="2302" width="9" hidden="1" customWidth="1"/>
    <col min="2303" max="2303" width="0.142857142857143" customWidth="1"/>
    <col min="2304" max="2304" width="79" customWidth="1"/>
    <col min="2305" max="2305" width="9.85714285714286" customWidth="1"/>
    <col min="2306" max="2306" width="15.1428571428571" customWidth="1"/>
    <col min="2307" max="2307" width="10.1428571428571" customWidth="1"/>
    <col min="2308" max="2310" width="9.71428571428571" customWidth="1"/>
    <col min="2311" max="2311" width="10.8571428571429" customWidth="1"/>
    <col min="2312" max="2312" width="9.71428571428571" customWidth="1"/>
    <col min="2313" max="2313" width="9.85714285714286" customWidth="1"/>
    <col min="2314" max="2314" width="7.42857142857143" customWidth="1"/>
    <col min="2315" max="2315" width="21.4285714285714" customWidth="1"/>
    <col min="2316" max="2316" width="27.8571428571429" customWidth="1"/>
    <col min="2317" max="2317" width="9.85714285714286" customWidth="1"/>
    <col min="2318" max="2318" width="7.42857142857143" customWidth="1"/>
    <col min="2319" max="2319" width="12" customWidth="1"/>
    <col min="2320" max="2320" width="2.42857142857143" customWidth="1"/>
    <col min="2321" max="2324" width="9" hidden="1" customWidth="1"/>
    <col min="2325" max="2325" width="7.71428571428571" customWidth="1"/>
    <col min="2326" max="2326" width="2.71428571428571" customWidth="1"/>
    <col min="2328" max="2328" width="12.7142857142857" customWidth="1"/>
    <col min="2557" max="2557" width="4.71428571428571" customWidth="1"/>
    <col min="2558" max="2558" width="9" hidden="1" customWidth="1"/>
    <col min="2559" max="2559" width="0.142857142857143" customWidth="1"/>
    <col min="2560" max="2560" width="79" customWidth="1"/>
    <col min="2561" max="2561" width="9.85714285714286" customWidth="1"/>
    <col min="2562" max="2562" width="15.1428571428571" customWidth="1"/>
    <col min="2563" max="2563" width="10.1428571428571" customWidth="1"/>
    <col min="2564" max="2566" width="9.71428571428571" customWidth="1"/>
    <col min="2567" max="2567" width="10.8571428571429" customWidth="1"/>
    <col min="2568" max="2568" width="9.71428571428571" customWidth="1"/>
    <col min="2569" max="2569" width="9.85714285714286" customWidth="1"/>
    <col min="2570" max="2570" width="7.42857142857143" customWidth="1"/>
    <col min="2571" max="2571" width="21.4285714285714" customWidth="1"/>
    <col min="2572" max="2572" width="27.8571428571429" customWidth="1"/>
    <col min="2573" max="2573" width="9.85714285714286" customWidth="1"/>
    <col min="2574" max="2574" width="7.42857142857143" customWidth="1"/>
    <col min="2575" max="2575" width="12" customWidth="1"/>
    <col min="2576" max="2576" width="2.42857142857143" customWidth="1"/>
    <col min="2577" max="2580" width="9" hidden="1" customWidth="1"/>
    <col min="2581" max="2581" width="7.71428571428571" customWidth="1"/>
    <col min="2582" max="2582" width="2.71428571428571" customWidth="1"/>
    <col min="2584" max="2584" width="12.7142857142857" customWidth="1"/>
    <col min="2813" max="2813" width="4.71428571428571" customWidth="1"/>
    <col min="2814" max="2814" width="9" hidden="1" customWidth="1"/>
    <col min="2815" max="2815" width="0.142857142857143" customWidth="1"/>
    <col min="2816" max="2816" width="79" customWidth="1"/>
    <col min="2817" max="2817" width="9.85714285714286" customWidth="1"/>
    <col min="2818" max="2818" width="15.1428571428571" customWidth="1"/>
    <col min="2819" max="2819" width="10.1428571428571" customWidth="1"/>
    <col min="2820" max="2822" width="9.71428571428571" customWidth="1"/>
    <col min="2823" max="2823" width="10.8571428571429" customWidth="1"/>
    <col min="2824" max="2824" width="9.71428571428571" customWidth="1"/>
    <col min="2825" max="2825" width="9.85714285714286" customWidth="1"/>
    <col min="2826" max="2826" width="7.42857142857143" customWidth="1"/>
    <col min="2827" max="2827" width="21.4285714285714" customWidth="1"/>
    <col min="2828" max="2828" width="27.8571428571429" customWidth="1"/>
    <col min="2829" max="2829" width="9.85714285714286" customWidth="1"/>
    <col min="2830" max="2830" width="7.42857142857143" customWidth="1"/>
    <col min="2831" max="2831" width="12" customWidth="1"/>
    <col min="2832" max="2832" width="2.42857142857143" customWidth="1"/>
    <col min="2833" max="2836" width="9" hidden="1" customWidth="1"/>
    <col min="2837" max="2837" width="7.71428571428571" customWidth="1"/>
    <col min="2838" max="2838" width="2.71428571428571" customWidth="1"/>
    <col min="2840" max="2840" width="12.7142857142857" customWidth="1"/>
    <col min="3069" max="3069" width="4.71428571428571" customWidth="1"/>
    <col min="3070" max="3070" width="9" hidden="1" customWidth="1"/>
    <col min="3071" max="3071" width="0.142857142857143" customWidth="1"/>
    <col min="3072" max="3072" width="79" customWidth="1"/>
    <col min="3073" max="3073" width="9.85714285714286" customWidth="1"/>
    <col min="3074" max="3074" width="15.1428571428571" customWidth="1"/>
    <col min="3075" max="3075" width="10.1428571428571" customWidth="1"/>
    <col min="3076" max="3078" width="9.71428571428571" customWidth="1"/>
    <col min="3079" max="3079" width="10.8571428571429" customWidth="1"/>
    <col min="3080" max="3080" width="9.71428571428571" customWidth="1"/>
    <col min="3081" max="3081" width="9.85714285714286" customWidth="1"/>
    <col min="3082" max="3082" width="7.42857142857143" customWidth="1"/>
    <col min="3083" max="3083" width="21.4285714285714" customWidth="1"/>
    <col min="3084" max="3084" width="27.8571428571429" customWidth="1"/>
    <col min="3085" max="3085" width="9.85714285714286" customWidth="1"/>
    <col min="3086" max="3086" width="7.42857142857143" customWidth="1"/>
    <col min="3087" max="3087" width="12" customWidth="1"/>
    <col min="3088" max="3088" width="2.42857142857143" customWidth="1"/>
    <col min="3089" max="3092" width="9" hidden="1" customWidth="1"/>
    <col min="3093" max="3093" width="7.71428571428571" customWidth="1"/>
    <col min="3094" max="3094" width="2.71428571428571" customWidth="1"/>
    <col min="3096" max="3096" width="12.7142857142857" customWidth="1"/>
    <col min="3325" max="3325" width="4.71428571428571" customWidth="1"/>
    <col min="3326" max="3326" width="9" hidden="1" customWidth="1"/>
    <col min="3327" max="3327" width="0.142857142857143" customWidth="1"/>
    <col min="3328" max="3328" width="79" customWidth="1"/>
    <col min="3329" max="3329" width="9.85714285714286" customWidth="1"/>
    <col min="3330" max="3330" width="15.1428571428571" customWidth="1"/>
    <col min="3331" max="3331" width="10.1428571428571" customWidth="1"/>
    <col min="3332" max="3334" width="9.71428571428571" customWidth="1"/>
    <col min="3335" max="3335" width="10.8571428571429" customWidth="1"/>
    <col min="3336" max="3336" width="9.71428571428571" customWidth="1"/>
    <col min="3337" max="3337" width="9.85714285714286" customWidth="1"/>
    <col min="3338" max="3338" width="7.42857142857143" customWidth="1"/>
    <col min="3339" max="3339" width="21.4285714285714" customWidth="1"/>
    <col min="3340" max="3340" width="27.8571428571429" customWidth="1"/>
    <col min="3341" max="3341" width="9.85714285714286" customWidth="1"/>
    <col min="3342" max="3342" width="7.42857142857143" customWidth="1"/>
    <col min="3343" max="3343" width="12" customWidth="1"/>
    <col min="3344" max="3344" width="2.42857142857143" customWidth="1"/>
    <col min="3345" max="3348" width="9" hidden="1" customWidth="1"/>
    <col min="3349" max="3349" width="7.71428571428571" customWidth="1"/>
    <col min="3350" max="3350" width="2.71428571428571" customWidth="1"/>
    <col min="3352" max="3352" width="12.7142857142857" customWidth="1"/>
    <col min="3581" max="3581" width="4.71428571428571" customWidth="1"/>
    <col min="3582" max="3582" width="9" hidden="1" customWidth="1"/>
    <col min="3583" max="3583" width="0.142857142857143" customWidth="1"/>
    <col min="3584" max="3584" width="79" customWidth="1"/>
    <col min="3585" max="3585" width="9.85714285714286" customWidth="1"/>
    <col min="3586" max="3586" width="15.1428571428571" customWidth="1"/>
    <col min="3587" max="3587" width="10.1428571428571" customWidth="1"/>
    <col min="3588" max="3590" width="9.71428571428571" customWidth="1"/>
    <col min="3591" max="3591" width="10.8571428571429" customWidth="1"/>
    <col min="3592" max="3592" width="9.71428571428571" customWidth="1"/>
    <col min="3593" max="3593" width="9.85714285714286" customWidth="1"/>
    <col min="3594" max="3594" width="7.42857142857143" customWidth="1"/>
    <col min="3595" max="3595" width="21.4285714285714" customWidth="1"/>
    <col min="3596" max="3596" width="27.8571428571429" customWidth="1"/>
    <col min="3597" max="3597" width="9.85714285714286" customWidth="1"/>
    <col min="3598" max="3598" width="7.42857142857143" customWidth="1"/>
    <col min="3599" max="3599" width="12" customWidth="1"/>
    <col min="3600" max="3600" width="2.42857142857143" customWidth="1"/>
    <col min="3601" max="3604" width="9" hidden="1" customWidth="1"/>
    <col min="3605" max="3605" width="7.71428571428571" customWidth="1"/>
    <col min="3606" max="3606" width="2.71428571428571" customWidth="1"/>
    <col min="3608" max="3608" width="12.7142857142857" customWidth="1"/>
    <col min="3837" max="3837" width="4.71428571428571" customWidth="1"/>
    <col min="3838" max="3838" width="9" hidden="1" customWidth="1"/>
    <col min="3839" max="3839" width="0.142857142857143" customWidth="1"/>
    <col min="3840" max="3840" width="79" customWidth="1"/>
    <col min="3841" max="3841" width="9.85714285714286" customWidth="1"/>
    <col min="3842" max="3842" width="15.1428571428571" customWidth="1"/>
    <col min="3843" max="3843" width="10.1428571428571" customWidth="1"/>
    <col min="3844" max="3846" width="9.71428571428571" customWidth="1"/>
    <col min="3847" max="3847" width="10.8571428571429" customWidth="1"/>
    <col min="3848" max="3848" width="9.71428571428571" customWidth="1"/>
    <col min="3849" max="3849" width="9.85714285714286" customWidth="1"/>
    <col min="3850" max="3850" width="7.42857142857143" customWidth="1"/>
    <col min="3851" max="3851" width="21.4285714285714" customWidth="1"/>
    <col min="3852" max="3852" width="27.8571428571429" customWidth="1"/>
    <col min="3853" max="3853" width="9.85714285714286" customWidth="1"/>
    <col min="3854" max="3854" width="7.42857142857143" customWidth="1"/>
    <col min="3855" max="3855" width="12" customWidth="1"/>
    <col min="3856" max="3856" width="2.42857142857143" customWidth="1"/>
    <col min="3857" max="3860" width="9" hidden="1" customWidth="1"/>
    <col min="3861" max="3861" width="7.71428571428571" customWidth="1"/>
    <col min="3862" max="3862" width="2.71428571428571" customWidth="1"/>
    <col min="3864" max="3864" width="12.7142857142857" customWidth="1"/>
    <col min="4093" max="4093" width="4.71428571428571" customWidth="1"/>
    <col min="4094" max="4094" width="9" hidden="1" customWidth="1"/>
    <col min="4095" max="4095" width="0.142857142857143" customWidth="1"/>
    <col min="4096" max="4096" width="79" customWidth="1"/>
    <col min="4097" max="4097" width="9.85714285714286" customWidth="1"/>
    <col min="4098" max="4098" width="15.1428571428571" customWidth="1"/>
    <col min="4099" max="4099" width="10.1428571428571" customWidth="1"/>
    <col min="4100" max="4102" width="9.71428571428571" customWidth="1"/>
    <col min="4103" max="4103" width="10.8571428571429" customWidth="1"/>
    <col min="4104" max="4104" width="9.71428571428571" customWidth="1"/>
    <col min="4105" max="4105" width="9.85714285714286" customWidth="1"/>
    <col min="4106" max="4106" width="7.42857142857143" customWidth="1"/>
    <col min="4107" max="4107" width="21.4285714285714" customWidth="1"/>
    <col min="4108" max="4108" width="27.8571428571429" customWidth="1"/>
    <col min="4109" max="4109" width="9.85714285714286" customWidth="1"/>
    <col min="4110" max="4110" width="7.42857142857143" customWidth="1"/>
    <col min="4111" max="4111" width="12" customWidth="1"/>
    <col min="4112" max="4112" width="2.42857142857143" customWidth="1"/>
    <col min="4113" max="4116" width="9" hidden="1" customWidth="1"/>
    <col min="4117" max="4117" width="7.71428571428571" customWidth="1"/>
    <col min="4118" max="4118" width="2.71428571428571" customWidth="1"/>
    <col min="4120" max="4120" width="12.7142857142857" customWidth="1"/>
    <col min="4349" max="4349" width="4.71428571428571" customWidth="1"/>
    <col min="4350" max="4350" width="9" hidden="1" customWidth="1"/>
    <col min="4351" max="4351" width="0.142857142857143" customWidth="1"/>
    <col min="4352" max="4352" width="79" customWidth="1"/>
    <col min="4353" max="4353" width="9.85714285714286" customWidth="1"/>
    <col min="4354" max="4354" width="15.1428571428571" customWidth="1"/>
    <col min="4355" max="4355" width="10.1428571428571" customWidth="1"/>
    <col min="4356" max="4358" width="9.71428571428571" customWidth="1"/>
    <col min="4359" max="4359" width="10.8571428571429" customWidth="1"/>
    <col min="4360" max="4360" width="9.71428571428571" customWidth="1"/>
    <col min="4361" max="4361" width="9.85714285714286" customWidth="1"/>
    <col min="4362" max="4362" width="7.42857142857143" customWidth="1"/>
    <col min="4363" max="4363" width="21.4285714285714" customWidth="1"/>
    <col min="4364" max="4364" width="27.8571428571429" customWidth="1"/>
    <col min="4365" max="4365" width="9.85714285714286" customWidth="1"/>
    <col min="4366" max="4366" width="7.42857142857143" customWidth="1"/>
    <col min="4367" max="4367" width="12" customWidth="1"/>
    <col min="4368" max="4368" width="2.42857142857143" customWidth="1"/>
    <col min="4369" max="4372" width="9" hidden="1" customWidth="1"/>
    <col min="4373" max="4373" width="7.71428571428571" customWidth="1"/>
    <col min="4374" max="4374" width="2.71428571428571" customWidth="1"/>
    <col min="4376" max="4376" width="12.7142857142857" customWidth="1"/>
    <col min="4605" max="4605" width="4.71428571428571" customWidth="1"/>
    <col min="4606" max="4606" width="9" hidden="1" customWidth="1"/>
    <col min="4607" max="4607" width="0.142857142857143" customWidth="1"/>
    <col min="4608" max="4608" width="79" customWidth="1"/>
    <col min="4609" max="4609" width="9.85714285714286" customWidth="1"/>
    <col min="4610" max="4610" width="15.1428571428571" customWidth="1"/>
    <col min="4611" max="4611" width="10.1428571428571" customWidth="1"/>
    <col min="4612" max="4614" width="9.71428571428571" customWidth="1"/>
    <col min="4615" max="4615" width="10.8571428571429" customWidth="1"/>
    <col min="4616" max="4616" width="9.71428571428571" customWidth="1"/>
    <col min="4617" max="4617" width="9.85714285714286" customWidth="1"/>
    <col min="4618" max="4618" width="7.42857142857143" customWidth="1"/>
    <col min="4619" max="4619" width="21.4285714285714" customWidth="1"/>
    <col min="4620" max="4620" width="27.8571428571429" customWidth="1"/>
    <col min="4621" max="4621" width="9.85714285714286" customWidth="1"/>
    <col min="4622" max="4622" width="7.42857142857143" customWidth="1"/>
    <col min="4623" max="4623" width="12" customWidth="1"/>
    <col min="4624" max="4624" width="2.42857142857143" customWidth="1"/>
    <col min="4625" max="4628" width="9" hidden="1" customWidth="1"/>
    <col min="4629" max="4629" width="7.71428571428571" customWidth="1"/>
    <col min="4630" max="4630" width="2.71428571428571" customWidth="1"/>
    <col min="4632" max="4632" width="12.7142857142857" customWidth="1"/>
    <col min="4861" max="4861" width="4.71428571428571" customWidth="1"/>
    <col min="4862" max="4862" width="9" hidden="1" customWidth="1"/>
    <col min="4863" max="4863" width="0.142857142857143" customWidth="1"/>
    <col min="4864" max="4864" width="79" customWidth="1"/>
    <col min="4865" max="4865" width="9.85714285714286" customWidth="1"/>
    <col min="4866" max="4866" width="15.1428571428571" customWidth="1"/>
    <col min="4867" max="4867" width="10.1428571428571" customWidth="1"/>
    <col min="4868" max="4870" width="9.71428571428571" customWidth="1"/>
    <col min="4871" max="4871" width="10.8571428571429" customWidth="1"/>
    <col min="4872" max="4872" width="9.71428571428571" customWidth="1"/>
    <col min="4873" max="4873" width="9.85714285714286" customWidth="1"/>
    <col min="4874" max="4874" width="7.42857142857143" customWidth="1"/>
    <col min="4875" max="4875" width="21.4285714285714" customWidth="1"/>
    <col min="4876" max="4876" width="27.8571428571429" customWidth="1"/>
    <col min="4877" max="4877" width="9.85714285714286" customWidth="1"/>
    <col min="4878" max="4878" width="7.42857142857143" customWidth="1"/>
    <col min="4879" max="4879" width="12" customWidth="1"/>
    <col min="4880" max="4880" width="2.42857142857143" customWidth="1"/>
    <col min="4881" max="4884" width="9" hidden="1" customWidth="1"/>
    <col min="4885" max="4885" width="7.71428571428571" customWidth="1"/>
    <col min="4886" max="4886" width="2.71428571428571" customWidth="1"/>
    <col min="4888" max="4888" width="12.7142857142857" customWidth="1"/>
    <col min="5117" max="5117" width="4.71428571428571" customWidth="1"/>
    <col min="5118" max="5118" width="9" hidden="1" customWidth="1"/>
    <col min="5119" max="5119" width="0.142857142857143" customWidth="1"/>
    <col min="5120" max="5120" width="79" customWidth="1"/>
    <col min="5121" max="5121" width="9.85714285714286" customWidth="1"/>
    <col min="5122" max="5122" width="15.1428571428571" customWidth="1"/>
    <col min="5123" max="5123" width="10.1428571428571" customWidth="1"/>
    <col min="5124" max="5126" width="9.71428571428571" customWidth="1"/>
    <col min="5127" max="5127" width="10.8571428571429" customWidth="1"/>
    <col min="5128" max="5128" width="9.71428571428571" customWidth="1"/>
    <col min="5129" max="5129" width="9.85714285714286" customWidth="1"/>
    <col min="5130" max="5130" width="7.42857142857143" customWidth="1"/>
    <col min="5131" max="5131" width="21.4285714285714" customWidth="1"/>
    <col min="5132" max="5132" width="27.8571428571429" customWidth="1"/>
    <col min="5133" max="5133" width="9.85714285714286" customWidth="1"/>
    <col min="5134" max="5134" width="7.42857142857143" customWidth="1"/>
    <col min="5135" max="5135" width="12" customWidth="1"/>
    <col min="5136" max="5136" width="2.42857142857143" customWidth="1"/>
    <col min="5137" max="5140" width="9" hidden="1" customWidth="1"/>
    <col min="5141" max="5141" width="7.71428571428571" customWidth="1"/>
    <col min="5142" max="5142" width="2.71428571428571" customWidth="1"/>
    <col min="5144" max="5144" width="12.7142857142857" customWidth="1"/>
    <col min="5373" max="5373" width="4.71428571428571" customWidth="1"/>
    <col min="5374" max="5374" width="9" hidden="1" customWidth="1"/>
    <col min="5375" max="5375" width="0.142857142857143" customWidth="1"/>
    <col min="5376" max="5376" width="79" customWidth="1"/>
    <col min="5377" max="5377" width="9.85714285714286" customWidth="1"/>
    <col min="5378" max="5378" width="15.1428571428571" customWidth="1"/>
    <col min="5379" max="5379" width="10.1428571428571" customWidth="1"/>
    <col min="5380" max="5382" width="9.71428571428571" customWidth="1"/>
    <col min="5383" max="5383" width="10.8571428571429" customWidth="1"/>
    <col min="5384" max="5384" width="9.71428571428571" customWidth="1"/>
    <col min="5385" max="5385" width="9.85714285714286" customWidth="1"/>
    <col min="5386" max="5386" width="7.42857142857143" customWidth="1"/>
    <col min="5387" max="5387" width="21.4285714285714" customWidth="1"/>
    <col min="5388" max="5388" width="27.8571428571429" customWidth="1"/>
    <col min="5389" max="5389" width="9.85714285714286" customWidth="1"/>
    <col min="5390" max="5390" width="7.42857142857143" customWidth="1"/>
    <col min="5391" max="5391" width="12" customWidth="1"/>
    <col min="5392" max="5392" width="2.42857142857143" customWidth="1"/>
    <col min="5393" max="5396" width="9" hidden="1" customWidth="1"/>
    <col min="5397" max="5397" width="7.71428571428571" customWidth="1"/>
    <col min="5398" max="5398" width="2.71428571428571" customWidth="1"/>
    <col min="5400" max="5400" width="12.7142857142857" customWidth="1"/>
    <col min="5629" max="5629" width="4.71428571428571" customWidth="1"/>
    <col min="5630" max="5630" width="9" hidden="1" customWidth="1"/>
    <col min="5631" max="5631" width="0.142857142857143" customWidth="1"/>
    <col min="5632" max="5632" width="79" customWidth="1"/>
    <col min="5633" max="5633" width="9.85714285714286" customWidth="1"/>
    <col min="5634" max="5634" width="15.1428571428571" customWidth="1"/>
    <col min="5635" max="5635" width="10.1428571428571" customWidth="1"/>
    <col min="5636" max="5638" width="9.71428571428571" customWidth="1"/>
    <col min="5639" max="5639" width="10.8571428571429" customWidth="1"/>
    <col min="5640" max="5640" width="9.71428571428571" customWidth="1"/>
    <col min="5641" max="5641" width="9.85714285714286" customWidth="1"/>
    <col min="5642" max="5642" width="7.42857142857143" customWidth="1"/>
    <col min="5643" max="5643" width="21.4285714285714" customWidth="1"/>
    <col min="5644" max="5644" width="27.8571428571429" customWidth="1"/>
    <col min="5645" max="5645" width="9.85714285714286" customWidth="1"/>
    <col min="5646" max="5646" width="7.42857142857143" customWidth="1"/>
    <col min="5647" max="5647" width="12" customWidth="1"/>
    <col min="5648" max="5648" width="2.42857142857143" customWidth="1"/>
    <col min="5649" max="5652" width="9" hidden="1" customWidth="1"/>
    <col min="5653" max="5653" width="7.71428571428571" customWidth="1"/>
    <col min="5654" max="5654" width="2.71428571428571" customWidth="1"/>
    <col min="5656" max="5656" width="12.7142857142857" customWidth="1"/>
    <col min="5885" max="5885" width="4.71428571428571" customWidth="1"/>
    <col min="5886" max="5886" width="9" hidden="1" customWidth="1"/>
    <col min="5887" max="5887" width="0.142857142857143" customWidth="1"/>
    <col min="5888" max="5888" width="79" customWidth="1"/>
    <col min="5889" max="5889" width="9.85714285714286" customWidth="1"/>
    <col min="5890" max="5890" width="15.1428571428571" customWidth="1"/>
    <col min="5891" max="5891" width="10.1428571428571" customWidth="1"/>
    <col min="5892" max="5894" width="9.71428571428571" customWidth="1"/>
    <col min="5895" max="5895" width="10.8571428571429" customWidth="1"/>
    <col min="5896" max="5896" width="9.71428571428571" customWidth="1"/>
    <col min="5897" max="5897" width="9.85714285714286" customWidth="1"/>
    <col min="5898" max="5898" width="7.42857142857143" customWidth="1"/>
    <col min="5899" max="5899" width="21.4285714285714" customWidth="1"/>
    <col min="5900" max="5900" width="27.8571428571429" customWidth="1"/>
    <col min="5901" max="5901" width="9.85714285714286" customWidth="1"/>
    <col min="5902" max="5902" width="7.42857142857143" customWidth="1"/>
    <col min="5903" max="5903" width="12" customWidth="1"/>
    <col min="5904" max="5904" width="2.42857142857143" customWidth="1"/>
    <col min="5905" max="5908" width="9" hidden="1" customWidth="1"/>
    <col min="5909" max="5909" width="7.71428571428571" customWidth="1"/>
    <col min="5910" max="5910" width="2.71428571428571" customWidth="1"/>
    <col min="5912" max="5912" width="12.7142857142857" customWidth="1"/>
    <col min="6141" max="6141" width="4.71428571428571" customWidth="1"/>
    <col min="6142" max="6142" width="9" hidden="1" customWidth="1"/>
    <col min="6143" max="6143" width="0.142857142857143" customWidth="1"/>
    <col min="6144" max="6144" width="79" customWidth="1"/>
    <col min="6145" max="6145" width="9.85714285714286" customWidth="1"/>
    <col min="6146" max="6146" width="15.1428571428571" customWidth="1"/>
    <col min="6147" max="6147" width="10.1428571428571" customWidth="1"/>
    <col min="6148" max="6150" width="9.71428571428571" customWidth="1"/>
    <col min="6151" max="6151" width="10.8571428571429" customWidth="1"/>
    <col min="6152" max="6152" width="9.71428571428571" customWidth="1"/>
    <col min="6153" max="6153" width="9.85714285714286" customWidth="1"/>
    <col min="6154" max="6154" width="7.42857142857143" customWidth="1"/>
    <col min="6155" max="6155" width="21.4285714285714" customWidth="1"/>
    <col min="6156" max="6156" width="27.8571428571429" customWidth="1"/>
    <col min="6157" max="6157" width="9.85714285714286" customWidth="1"/>
    <col min="6158" max="6158" width="7.42857142857143" customWidth="1"/>
    <col min="6159" max="6159" width="12" customWidth="1"/>
    <col min="6160" max="6160" width="2.42857142857143" customWidth="1"/>
    <col min="6161" max="6164" width="9" hidden="1" customWidth="1"/>
    <col min="6165" max="6165" width="7.71428571428571" customWidth="1"/>
    <col min="6166" max="6166" width="2.71428571428571" customWidth="1"/>
    <col min="6168" max="6168" width="12.7142857142857" customWidth="1"/>
    <col min="6397" max="6397" width="4.71428571428571" customWidth="1"/>
    <col min="6398" max="6398" width="9" hidden="1" customWidth="1"/>
    <col min="6399" max="6399" width="0.142857142857143" customWidth="1"/>
    <col min="6400" max="6400" width="79" customWidth="1"/>
    <col min="6401" max="6401" width="9.85714285714286" customWidth="1"/>
    <col min="6402" max="6402" width="15.1428571428571" customWidth="1"/>
    <col min="6403" max="6403" width="10.1428571428571" customWidth="1"/>
    <col min="6404" max="6406" width="9.71428571428571" customWidth="1"/>
    <col min="6407" max="6407" width="10.8571428571429" customWidth="1"/>
    <col min="6408" max="6408" width="9.71428571428571" customWidth="1"/>
    <col min="6409" max="6409" width="9.85714285714286" customWidth="1"/>
    <col min="6410" max="6410" width="7.42857142857143" customWidth="1"/>
    <col min="6411" max="6411" width="21.4285714285714" customWidth="1"/>
    <col min="6412" max="6412" width="27.8571428571429" customWidth="1"/>
    <col min="6413" max="6413" width="9.85714285714286" customWidth="1"/>
    <col min="6414" max="6414" width="7.42857142857143" customWidth="1"/>
    <col min="6415" max="6415" width="12" customWidth="1"/>
    <col min="6416" max="6416" width="2.42857142857143" customWidth="1"/>
    <col min="6417" max="6420" width="9" hidden="1" customWidth="1"/>
    <col min="6421" max="6421" width="7.71428571428571" customWidth="1"/>
    <col min="6422" max="6422" width="2.71428571428571" customWidth="1"/>
    <col min="6424" max="6424" width="12.7142857142857" customWidth="1"/>
    <col min="6653" max="6653" width="4.71428571428571" customWidth="1"/>
    <col min="6654" max="6654" width="9" hidden="1" customWidth="1"/>
    <col min="6655" max="6655" width="0.142857142857143" customWidth="1"/>
    <col min="6656" max="6656" width="79" customWidth="1"/>
    <col min="6657" max="6657" width="9.85714285714286" customWidth="1"/>
    <col min="6658" max="6658" width="15.1428571428571" customWidth="1"/>
    <col min="6659" max="6659" width="10.1428571428571" customWidth="1"/>
    <col min="6660" max="6662" width="9.71428571428571" customWidth="1"/>
    <col min="6663" max="6663" width="10.8571428571429" customWidth="1"/>
    <col min="6664" max="6664" width="9.71428571428571" customWidth="1"/>
    <col min="6665" max="6665" width="9.85714285714286" customWidth="1"/>
    <col min="6666" max="6666" width="7.42857142857143" customWidth="1"/>
    <col min="6667" max="6667" width="21.4285714285714" customWidth="1"/>
    <col min="6668" max="6668" width="27.8571428571429" customWidth="1"/>
    <col min="6669" max="6669" width="9.85714285714286" customWidth="1"/>
    <col min="6670" max="6670" width="7.42857142857143" customWidth="1"/>
    <col min="6671" max="6671" width="12" customWidth="1"/>
    <col min="6672" max="6672" width="2.42857142857143" customWidth="1"/>
    <col min="6673" max="6676" width="9" hidden="1" customWidth="1"/>
    <col min="6677" max="6677" width="7.71428571428571" customWidth="1"/>
    <col min="6678" max="6678" width="2.71428571428571" customWidth="1"/>
    <col min="6680" max="6680" width="12.7142857142857" customWidth="1"/>
    <col min="6909" max="6909" width="4.71428571428571" customWidth="1"/>
    <col min="6910" max="6910" width="9" hidden="1" customWidth="1"/>
    <col min="6911" max="6911" width="0.142857142857143" customWidth="1"/>
    <col min="6912" max="6912" width="79" customWidth="1"/>
    <col min="6913" max="6913" width="9.85714285714286" customWidth="1"/>
    <col min="6914" max="6914" width="15.1428571428571" customWidth="1"/>
    <col min="6915" max="6915" width="10.1428571428571" customWidth="1"/>
    <col min="6916" max="6918" width="9.71428571428571" customWidth="1"/>
    <col min="6919" max="6919" width="10.8571428571429" customWidth="1"/>
    <col min="6920" max="6920" width="9.71428571428571" customWidth="1"/>
    <col min="6921" max="6921" width="9.85714285714286" customWidth="1"/>
    <col min="6922" max="6922" width="7.42857142857143" customWidth="1"/>
    <col min="6923" max="6923" width="21.4285714285714" customWidth="1"/>
    <col min="6924" max="6924" width="27.8571428571429" customWidth="1"/>
    <col min="6925" max="6925" width="9.85714285714286" customWidth="1"/>
    <col min="6926" max="6926" width="7.42857142857143" customWidth="1"/>
    <col min="6927" max="6927" width="12" customWidth="1"/>
    <col min="6928" max="6928" width="2.42857142857143" customWidth="1"/>
    <col min="6929" max="6932" width="9" hidden="1" customWidth="1"/>
    <col min="6933" max="6933" width="7.71428571428571" customWidth="1"/>
    <col min="6934" max="6934" width="2.71428571428571" customWidth="1"/>
    <col min="6936" max="6936" width="12.7142857142857" customWidth="1"/>
    <col min="7165" max="7165" width="4.71428571428571" customWidth="1"/>
    <col min="7166" max="7166" width="9" hidden="1" customWidth="1"/>
    <col min="7167" max="7167" width="0.142857142857143" customWidth="1"/>
    <col min="7168" max="7168" width="79" customWidth="1"/>
    <col min="7169" max="7169" width="9.85714285714286" customWidth="1"/>
    <col min="7170" max="7170" width="15.1428571428571" customWidth="1"/>
    <col min="7171" max="7171" width="10.1428571428571" customWidth="1"/>
    <col min="7172" max="7174" width="9.71428571428571" customWidth="1"/>
    <col min="7175" max="7175" width="10.8571428571429" customWidth="1"/>
    <col min="7176" max="7176" width="9.71428571428571" customWidth="1"/>
    <col min="7177" max="7177" width="9.85714285714286" customWidth="1"/>
    <col min="7178" max="7178" width="7.42857142857143" customWidth="1"/>
    <col min="7179" max="7179" width="21.4285714285714" customWidth="1"/>
    <col min="7180" max="7180" width="27.8571428571429" customWidth="1"/>
    <col min="7181" max="7181" width="9.85714285714286" customWidth="1"/>
    <col min="7182" max="7182" width="7.42857142857143" customWidth="1"/>
    <col min="7183" max="7183" width="12" customWidth="1"/>
    <col min="7184" max="7184" width="2.42857142857143" customWidth="1"/>
    <col min="7185" max="7188" width="9" hidden="1" customWidth="1"/>
    <col min="7189" max="7189" width="7.71428571428571" customWidth="1"/>
    <col min="7190" max="7190" width="2.71428571428571" customWidth="1"/>
    <col min="7192" max="7192" width="12.7142857142857" customWidth="1"/>
    <col min="7421" max="7421" width="4.71428571428571" customWidth="1"/>
    <col min="7422" max="7422" width="9" hidden="1" customWidth="1"/>
    <col min="7423" max="7423" width="0.142857142857143" customWidth="1"/>
    <col min="7424" max="7424" width="79" customWidth="1"/>
    <col min="7425" max="7425" width="9.85714285714286" customWidth="1"/>
    <col min="7426" max="7426" width="15.1428571428571" customWidth="1"/>
    <col min="7427" max="7427" width="10.1428571428571" customWidth="1"/>
    <col min="7428" max="7430" width="9.71428571428571" customWidth="1"/>
    <col min="7431" max="7431" width="10.8571428571429" customWidth="1"/>
    <col min="7432" max="7432" width="9.71428571428571" customWidth="1"/>
    <col min="7433" max="7433" width="9.85714285714286" customWidth="1"/>
    <col min="7434" max="7434" width="7.42857142857143" customWidth="1"/>
    <col min="7435" max="7435" width="21.4285714285714" customWidth="1"/>
    <col min="7436" max="7436" width="27.8571428571429" customWidth="1"/>
    <col min="7437" max="7437" width="9.85714285714286" customWidth="1"/>
    <col min="7438" max="7438" width="7.42857142857143" customWidth="1"/>
    <col min="7439" max="7439" width="12" customWidth="1"/>
    <col min="7440" max="7440" width="2.42857142857143" customWidth="1"/>
    <col min="7441" max="7444" width="9" hidden="1" customWidth="1"/>
    <col min="7445" max="7445" width="7.71428571428571" customWidth="1"/>
    <col min="7446" max="7446" width="2.71428571428571" customWidth="1"/>
    <col min="7448" max="7448" width="12.7142857142857" customWidth="1"/>
    <col min="7677" max="7677" width="4.71428571428571" customWidth="1"/>
    <col min="7678" max="7678" width="9" hidden="1" customWidth="1"/>
    <col min="7679" max="7679" width="0.142857142857143" customWidth="1"/>
    <col min="7680" max="7680" width="79" customWidth="1"/>
    <col min="7681" max="7681" width="9.85714285714286" customWidth="1"/>
    <col min="7682" max="7682" width="15.1428571428571" customWidth="1"/>
    <col min="7683" max="7683" width="10.1428571428571" customWidth="1"/>
    <col min="7684" max="7686" width="9.71428571428571" customWidth="1"/>
    <col min="7687" max="7687" width="10.8571428571429" customWidth="1"/>
    <col min="7688" max="7688" width="9.71428571428571" customWidth="1"/>
    <col min="7689" max="7689" width="9.85714285714286" customWidth="1"/>
    <col min="7690" max="7690" width="7.42857142857143" customWidth="1"/>
    <col min="7691" max="7691" width="21.4285714285714" customWidth="1"/>
    <col min="7692" max="7692" width="27.8571428571429" customWidth="1"/>
    <col min="7693" max="7693" width="9.85714285714286" customWidth="1"/>
    <col min="7694" max="7694" width="7.42857142857143" customWidth="1"/>
    <col min="7695" max="7695" width="12" customWidth="1"/>
    <col min="7696" max="7696" width="2.42857142857143" customWidth="1"/>
    <col min="7697" max="7700" width="9" hidden="1" customWidth="1"/>
    <col min="7701" max="7701" width="7.71428571428571" customWidth="1"/>
    <col min="7702" max="7702" width="2.71428571428571" customWidth="1"/>
    <col min="7704" max="7704" width="12.7142857142857" customWidth="1"/>
    <col min="7933" max="7933" width="4.71428571428571" customWidth="1"/>
    <col min="7934" max="7934" width="9" hidden="1" customWidth="1"/>
    <col min="7935" max="7935" width="0.142857142857143" customWidth="1"/>
    <col min="7936" max="7936" width="79" customWidth="1"/>
    <col min="7937" max="7937" width="9.85714285714286" customWidth="1"/>
    <col min="7938" max="7938" width="15.1428571428571" customWidth="1"/>
    <col min="7939" max="7939" width="10.1428571428571" customWidth="1"/>
    <col min="7940" max="7942" width="9.71428571428571" customWidth="1"/>
    <col min="7943" max="7943" width="10.8571428571429" customWidth="1"/>
    <col min="7944" max="7944" width="9.71428571428571" customWidth="1"/>
    <col min="7945" max="7945" width="9.85714285714286" customWidth="1"/>
    <col min="7946" max="7946" width="7.42857142857143" customWidth="1"/>
    <col min="7947" max="7947" width="21.4285714285714" customWidth="1"/>
    <col min="7948" max="7948" width="27.8571428571429" customWidth="1"/>
    <col min="7949" max="7949" width="9.85714285714286" customWidth="1"/>
    <col min="7950" max="7950" width="7.42857142857143" customWidth="1"/>
    <col min="7951" max="7951" width="12" customWidth="1"/>
    <col min="7952" max="7952" width="2.42857142857143" customWidth="1"/>
    <col min="7953" max="7956" width="9" hidden="1" customWidth="1"/>
    <col min="7957" max="7957" width="7.71428571428571" customWidth="1"/>
    <col min="7958" max="7958" width="2.71428571428571" customWidth="1"/>
    <col min="7960" max="7960" width="12.7142857142857" customWidth="1"/>
    <col min="8189" max="8189" width="4.71428571428571" customWidth="1"/>
    <col min="8190" max="8190" width="9" hidden="1" customWidth="1"/>
    <col min="8191" max="8191" width="0.142857142857143" customWidth="1"/>
    <col min="8192" max="8192" width="79" customWidth="1"/>
    <col min="8193" max="8193" width="9.85714285714286" customWidth="1"/>
    <col min="8194" max="8194" width="15.1428571428571" customWidth="1"/>
    <col min="8195" max="8195" width="10.1428571428571" customWidth="1"/>
    <col min="8196" max="8198" width="9.71428571428571" customWidth="1"/>
    <col min="8199" max="8199" width="10.8571428571429" customWidth="1"/>
    <col min="8200" max="8200" width="9.71428571428571" customWidth="1"/>
    <col min="8201" max="8201" width="9.85714285714286" customWidth="1"/>
    <col min="8202" max="8202" width="7.42857142857143" customWidth="1"/>
    <col min="8203" max="8203" width="21.4285714285714" customWidth="1"/>
    <col min="8204" max="8204" width="27.8571428571429" customWidth="1"/>
    <col min="8205" max="8205" width="9.85714285714286" customWidth="1"/>
    <col min="8206" max="8206" width="7.42857142857143" customWidth="1"/>
    <col min="8207" max="8207" width="12" customWidth="1"/>
    <col min="8208" max="8208" width="2.42857142857143" customWidth="1"/>
    <col min="8209" max="8212" width="9" hidden="1" customWidth="1"/>
    <col min="8213" max="8213" width="7.71428571428571" customWidth="1"/>
    <col min="8214" max="8214" width="2.71428571428571" customWidth="1"/>
    <col min="8216" max="8216" width="12.7142857142857" customWidth="1"/>
    <col min="8445" max="8445" width="4.71428571428571" customWidth="1"/>
    <col min="8446" max="8446" width="9" hidden="1" customWidth="1"/>
    <col min="8447" max="8447" width="0.142857142857143" customWidth="1"/>
    <col min="8448" max="8448" width="79" customWidth="1"/>
    <col min="8449" max="8449" width="9.85714285714286" customWidth="1"/>
    <col min="8450" max="8450" width="15.1428571428571" customWidth="1"/>
    <col min="8451" max="8451" width="10.1428571428571" customWidth="1"/>
    <col min="8452" max="8454" width="9.71428571428571" customWidth="1"/>
    <col min="8455" max="8455" width="10.8571428571429" customWidth="1"/>
    <col min="8456" max="8456" width="9.71428571428571" customWidth="1"/>
    <col min="8457" max="8457" width="9.85714285714286" customWidth="1"/>
    <col min="8458" max="8458" width="7.42857142857143" customWidth="1"/>
    <col min="8459" max="8459" width="21.4285714285714" customWidth="1"/>
    <col min="8460" max="8460" width="27.8571428571429" customWidth="1"/>
    <col min="8461" max="8461" width="9.85714285714286" customWidth="1"/>
    <col min="8462" max="8462" width="7.42857142857143" customWidth="1"/>
    <col min="8463" max="8463" width="12" customWidth="1"/>
    <col min="8464" max="8464" width="2.42857142857143" customWidth="1"/>
    <col min="8465" max="8468" width="9" hidden="1" customWidth="1"/>
    <col min="8469" max="8469" width="7.71428571428571" customWidth="1"/>
    <col min="8470" max="8470" width="2.71428571428571" customWidth="1"/>
    <col min="8472" max="8472" width="12.7142857142857" customWidth="1"/>
    <col min="8701" max="8701" width="4.71428571428571" customWidth="1"/>
    <col min="8702" max="8702" width="9" hidden="1" customWidth="1"/>
    <col min="8703" max="8703" width="0.142857142857143" customWidth="1"/>
    <col min="8704" max="8704" width="79" customWidth="1"/>
    <col min="8705" max="8705" width="9.85714285714286" customWidth="1"/>
    <col min="8706" max="8706" width="15.1428571428571" customWidth="1"/>
    <col min="8707" max="8707" width="10.1428571428571" customWidth="1"/>
    <col min="8708" max="8710" width="9.71428571428571" customWidth="1"/>
    <col min="8711" max="8711" width="10.8571428571429" customWidth="1"/>
    <col min="8712" max="8712" width="9.71428571428571" customWidth="1"/>
    <col min="8713" max="8713" width="9.85714285714286" customWidth="1"/>
    <col min="8714" max="8714" width="7.42857142857143" customWidth="1"/>
    <col min="8715" max="8715" width="21.4285714285714" customWidth="1"/>
    <col min="8716" max="8716" width="27.8571428571429" customWidth="1"/>
    <col min="8717" max="8717" width="9.85714285714286" customWidth="1"/>
    <col min="8718" max="8718" width="7.42857142857143" customWidth="1"/>
    <col min="8719" max="8719" width="12" customWidth="1"/>
    <col min="8720" max="8720" width="2.42857142857143" customWidth="1"/>
    <col min="8721" max="8724" width="9" hidden="1" customWidth="1"/>
    <col min="8725" max="8725" width="7.71428571428571" customWidth="1"/>
    <col min="8726" max="8726" width="2.71428571428571" customWidth="1"/>
    <col min="8728" max="8728" width="12.7142857142857" customWidth="1"/>
    <col min="8957" max="8957" width="4.71428571428571" customWidth="1"/>
    <col min="8958" max="8958" width="9" hidden="1" customWidth="1"/>
    <col min="8959" max="8959" width="0.142857142857143" customWidth="1"/>
    <col min="8960" max="8960" width="79" customWidth="1"/>
    <col min="8961" max="8961" width="9.85714285714286" customWidth="1"/>
    <col min="8962" max="8962" width="15.1428571428571" customWidth="1"/>
    <col min="8963" max="8963" width="10.1428571428571" customWidth="1"/>
    <col min="8964" max="8966" width="9.71428571428571" customWidth="1"/>
    <col min="8967" max="8967" width="10.8571428571429" customWidth="1"/>
    <col min="8968" max="8968" width="9.71428571428571" customWidth="1"/>
    <col min="8969" max="8969" width="9.85714285714286" customWidth="1"/>
    <col min="8970" max="8970" width="7.42857142857143" customWidth="1"/>
    <col min="8971" max="8971" width="21.4285714285714" customWidth="1"/>
    <col min="8972" max="8972" width="27.8571428571429" customWidth="1"/>
    <col min="8973" max="8973" width="9.85714285714286" customWidth="1"/>
    <col min="8974" max="8974" width="7.42857142857143" customWidth="1"/>
    <col min="8975" max="8975" width="12" customWidth="1"/>
    <col min="8976" max="8976" width="2.42857142857143" customWidth="1"/>
    <col min="8977" max="8980" width="9" hidden="1" customWidth="1"/>
    <col min="8981" max="8981" width="7.71428571428571" customWidth="1"/>
    <col min="8982" max="8982" width="2.71428571428571" customWidth="1"/>
    <col min="8984" max="8984" width="12.7142857142857" customWidth="1"/>
    <col min="9213" max="9213" width="4.71428571428571" customWidth="1"/>
    <col min="9214" max="9214" width="9" hidden="1" customWidth="1"/>
    <col min="9215" max="9215" width="0.142857142857143" customWidth="1"/>
    <col min="9216" max="9216" width="79" customWidth="1"/>
    <col min="9217" max="9217" width="9.85714285714286" customWidth="1"/>
    <col min="9218" max="9218" width="15.1428571428571" customWidth="1"/>
    <col min="9219" max="9219" width="10.1428571428571" customWidth="1"/>
    <col min="9220" max="9222" width="9.71428571428571" customWidth="1"/>
    <col min="9223" max="9223" width="10.8571428571429" customWidth="1"/>
    <col min="9224" max="9224" width="9.71428571428571" customWidth="1"/>
    <col min="9225" max="9225" width="9.85714285714286" customWidth="1"/>
    <col min="9226" max="9226" width="7.42857142857143" customWidth="1"/>
    <col min="9227" max="9227" width="21.4285714285714" customWidth="1"/>
    <col min="9228" max="9228" width="27.8571428571429" customWidth="1"/>
    <col min="9229" max="9229" width="9.85714285714286" customWidth="1"/>
    <col min="9230" max="9230" width="7.42857142857143" customWidth="1"/>
    <col min="9231" max="9231" width="12" customWidth="1"/>
    <col min="9232" max="9232" width="2.42857142857143" customWidth="1"/>
    <col min="9233" max="9236" width="9" hidden="1" customWidth="1"/>
    <col min="9237" max="9237" width="7.71428571428571" customWidth="1"/>
    <col min="9238" max="9238" width="2.71428571428571" customWidth="1"/>
    <col min="9240" max="9240" width="12.7142857142857" customWidth="1"/>
    <col min="9469" max="9469" width="4.71428571428571" customWidth="1"/>
    <col min="9470" max="9470" width="9" hidden="1" customWidth="1"/>
    <col min="9471" max="9471" width="0.142857142857143" customWidth="1"/>
    <col min="9472" max="9472" width="79" customWidth="1"/>
    <col min="9473" max="9473" width="9.85714285714286" customWidth="1"/>
    <col min="9474" max="9474" width="15.1428571428571" customWidth="1"/>
    <col min="9475" max="9475" width="10.1428571428571" customWidth="1"/>
    <col min="9476" max="9478" width="9.71428571428571" customWidth="1"/>
    <col min="9479" max="9479" width="10.8571428571429" customWidth="1"/>
    <col min="9480" max="9480" width="9.71428571428571" customWidth="1"/>
    <col min="9481" max="9481" width="9.85714285714286" customWidth="1"/>
    <col min="9482" max="9482" width="7.42857142857143" customWidth="1"/>
    <col min="9483" max="9483" width="21.4285714285714" customWidth="1"/>
    <col min="9484" max="9484" width="27.8571428571429" customWidth="1"/>
    <col min="9485" max="9485" width="9.85714285714286" customWidth="1"/>
    <col min="9486" max="9486" width="7.42857142857143" customWidth="1"/>
    <col min="9487" max="9487" width="12" customWidth="1"/>
    <col min="9488" max="9488" width="2.42857142857143" customWidth="1"/>
    <col min="9489" max="9492" width="9" hidden="1" customWidth="1"/>
    <col min="9493" max="9493" width="7.71428571428571" customWidth="1"/>
    <col min="9494" max="9494" width="2.71428571428571" customWidth="1"/>
    <col min="9496" max="9496" width="12.7142857142857" customWidth="1"/>
    <col min="9725" max="9725" width="4.71428571428571" customWidth="1"/>
    <col min="9726" max="9726" width="9" hidden="1" customWidth="1"/>
    <col min="9727" max="9727" width="0.142857142857143" customWidth="1"/>
    <col min="9728" max="9728" width="79" customWidth="1"/>
    <col min="9729" max="9729" width="9.85714285714286" customWidth="1"/>
    <col min="9730" max="9730" width="15.1428571428571" customWidth="1"/>
    <col min="9731" max="9731" width="10.1428571428571" customWidth="1"/>
    <col min="9732" max="9734" width="9.71428571428571" customWidth="1"/>
    <col min="9735" max="9735" width="10.8571428571429" customWidth="1"/>
    <col min="9736" max="9736" width="9.71428571428571" customWidth="1"/>
    <col min="9737" max="9737" width="9.85714285714286" customWidth="1"/>
    <col min="9738" max="9738" width="7.42857142857143" customWidth="1"/>
    <col min="9739" max="9739" width="21.4285714285714" customWidth="1"/>
    <col min="9740" max="9740" width="27.8571428571429" customWidth="1"/>
    <col min="9741" max="9741" width="9.85714285714286" customWidth="1"/>
    <col min="9742" max="9742" width="7.42857142857143" customWidth="1"/>
    <col min="9743" max="9743" width="12" customWidth="1"/>
    <col min="9744" max="9744" width="2.42857142857143" customWidth="1"/>
    <col min="9745" max="9748" width="9" hidden="1" customWidth="1"/>
    <col min="9749" max="9749" width="7.71428571428571" customWidth="1"/>
    <col min="9750" max="9750" width="2.71428571428571" customWidth="1"/>
    <col min="9752" max="9752" width="12.7142857142857" customWidth="1"/>
    <col min="9981" max="9981" width="4.71428571428571" customWidth="1"/>
    <col min="9982" max="9982" width="9" hidden="1" customWidth="1"/>
    <col min="9983" max="9983" width="0.142857142857143" customWidth="1"/>
    <col min="9984" max="9984" width="79" customWidth="1"/>
    <col min="9985" max="9985" width="9.85714285714286" customWidth="1"/>
    <col min="9986" max="9986" width="15.1428571428571" customWidth="1"/>
    <col min="9987" max="9987" width="10.1428571428571" customWidth="1"/>
    <col min="9988" max="9990" width="9.71428571428571" customWidth="1"/>
    <col min="9991" max="9991" width="10.8571428571429" customWidth="1"/>
    <col min="9992" max="9992" width="9.71428571428571" customWidth="1"/>
    <col min="9993" max="9993" width="9.85714285714286" customWidth="1"/>
    <col min="9994" max="9994" width="7.42857142857143" customWidth="1"/>
    <col min="9995" max="9995" width="21.4285714285714" customWidth="1"/>
    <col min="9996" max="9996" width="27.8571428571429" customWidth="1"/>
    <col min="9997" max="9997" width="9.85714285714286" customWidth="1"/>
    <col min="9998" max="9998" width="7.42857142857143" customWidth="1"/>
    <col min="9999" max="9999" width="12" customWidth="1"/>
    <col min="10000" max="10000" width="2.42857142857143" customWidth="1"/>
    <col min="10001" max="10004" width="9" hidden="1" customWidth="1"/>
    <col min="10005" max="10005" width="7.71428571428571" customWidth="1"/>
    <col min="10006" max="10006" width="2.71428571428571" customWidth="1"/>
    <col min="10008" max="10008" width="12.7142857142857" customWidth="1"/>
    <col min="10237" max="10237" width="4.71428571428571" customWidth="1"/>
    <col min="10238" max="10238" width="9" hidden="1" customWidth="1"/>
    <col min="10239" max="10239" width="0.142857142857143" customWidth="1"/>
    <col min="10240" max="10240" width="79" customWidth="1"/>
    <col min="10241" max="10241" width="9.85714285714286" customWidth="1"/>
    <col min="10242" max="10242" width="15.1428571428571" customWidth="1"/>
    <col min="10243" max="10243" width="10.1428571428571" customWidth="1"/>
    <col min="10244" max="10246" width="9.71428571428571" customWidth="1"/>
    <col min="10247" max="10247" width="10.8571428571429" customWidth="1"/>
    <col min="10248" max="10248" width="9.71428571428571" customWidth="1"/>
    <col min="10249" max="10249" width="9.85714285714286" customWidth="1"/>
    <col min="10250" max="10250" width="7.42857142857143" customWidth="1"/>
    <col min="10251" max="10251" width="21.4285714285714" customWidth="1"/>
    <col min="10252" max="10252" width="27.8571428571429" customWidth="1"/>
    <col min="10253" max="10253" width="9.85714285714286" customWidth="1"/>
    <col min="10254" max="10254" width="7.42857142857143" customWidth="1"/>
    <col min="10255" max="10255" width="12" customWidth="1"/>
    <col min="10256" max="10256" width="2.42857142857143" customWidth="1"/>
    <col min="10257" max="10260" width="9" hidden="1" customWidth="1"/>
    <col min="10261" max="10261" width="7.71428571428571" customWidth="1"/>
    <col min="10262" max="10262" width="2.71428571428571" customWidth="1"/>
    <col min="10264" max="10264" width="12.7142857142857" customWidth="1"/>
    <col min="10493" max="10493" width="4.71428571428571" customWidth="1"/>
    <col min="10494" max="10494" width="9" hidden="1" customWidth="1"/>
    <col min="10495" max="10495" width="0.142857142857143" customWidth="1"/>
    <col min="10496" max="10496" width="79" customWidth="1"/>
    <col min="10497" max="10497" width="9.85714285714286" customWidth="1"/>
    <col min="10498" max="10498" width="15.1428571428571" customWidth="1"/>
    <col min="10499" max="10499" width="10.1428571428571" customWidth="1"/>
    <col min="10500" max="10502" width="9.71428571428571" customWidth="1"/>
    <col min="10503" max="10503" width="10.8571428571429" customWidth="1"/>
    <col min="10504" max="10504" width="9.71428571428571" customWidth="1"/>
    <col min="10505" max="10505" width="9.85714285714286" customWidth="1"/>
    <col min="10506" max="10506" width="7.42857142857143" customWidth="1"/>
    <col min="10507" max="10507" width="21.4285714285714" customWidth="1"/>
    <col min="10508" max="10508" width="27.8571428571429" customWidth="1"/>
    <col min="10509" max="10509" width="9.85714285714286" customWidth="1"/>
    <col min="10510" max="10510" width="7.42857142857143" customWidth="1"/>
    <col min="10511" max="10511" width="12" customWidth="1"/>
    <col min="10512" max="10512" width="2.42857142857143" customWidth="1"/>
    <col min="10513" max="10516" width="9" hidden="1" customWidth="1"/>
    <col min="10517" max="10517" width="7.71428571428571" customWidth="1"/>
    <col min="10518" max="10518" width="2.71428571428571" customWidth="1"/>
    <col min="10520" max="10520" width="12.7142857142857" customWidth="1"/>
    <col min="10749" max="10749" width="4.71428571428571" customWidth="1"/>
    <col min="10750" max="10750" width="9" hidden="1" customWidth="1"/>
    <col min="10751" max="10751" width="0.142857142857143" customWidth="1"/>
    <col min="10752" max="10752" width="79" customWidth="1"/>
    <col min="10753" max="10753" width="9.85714285714286" customWidth="1"/>
    <col min="10754" max="10754" width="15.1428571428571" customWidth="1"/>
    <col min="10755" max="10755" width="10.1428571428571" customWidth="1"/>
    <col min="10756" max="10758" width="9.71428571428571" customWidth="1"/>
    <col min="10759" max="10759" width="10.8571428571429" customWidth="1"/>
    <col min="10760" max="10760" width="9.71428571428571" customWidth="1"/>
    <col min="10761" max="10761" width="9.85714285714286" customWidth="1"/>
    <col min="10762" max="10762" width="7.42857142857143" customWidth="1"/>
    <col min="10763" max="10763" width="21.4285714285714" customWidth="1"/>
    <col min="10764" max="10764" width="27.8571428571429" customWidth="1"/>
    <col min="10765" max="10765" width="9.85714285714286" customWidth="1"/>
    <col min="10766" max="10766" width="7.42857142857143" customWidth="1"/>
    <col min="10767" max="10767" width="12" customWidth="1"/>
    <col min="10768" max="10768" width="2.42857142857143" customWidth="1"/>
    <col min="10769" max="10772" width="9" hidden="1" customWidth="1"/>
    <col min="10773" max="10773" width="7.71428571428571" customWidth="1"/>
    <col min="10774" max="10774" width="2.71428571428571" customWidth="1"/>
    <col min="10776" max="10776" width="12.7142857142857" customWidth="1"/>
    <col min="11005" max="11005" width="4.71428571428571" customWidth="1"/>
    <col min="11006" max="11006" width="9" hidden="1" customWidth="1"/>
    <col min="11007" max="11007" width="0.142857142857143" customWidth="1"/>
    <col min="11008" max="11008" width="79" customWidth="1"/>
    <col min="11009" max="11009" width="9.85714285714286" customWidth="1"/>
    <col min="11010" max="11010" width="15.1428571428571" customWidth="1"/>
    <col min="11011" max="11011" width="10.1428571428571" customWidth="1"/>
    <col min="11012" max="11014" width="9.71428571428571" customWidth="1"/>
    <col min="11015" max="11015" width="10.8571428571429" customWidth="1"/>
    <col min="11016" max="11016" width="9.71428571428571" customWidth="1"/>
    <col min="11017" max="11017" width="9.85714285714286" customWidth="1"/>
    <col min="11018" max="11018" width="7.42857142857143" customWidth="1"/>
    <col min="11019" max="11019" width="21.4285714285714" customWidth="1"/>
    <col min="11020" max="11020" width="27.8571428571429" customWidth="1"/>
    <col min="11021" max="11021" width="9.85714285714286" customWidth="1"/>
    <col min="11022" max="11022" width="7.42857142857143" customWidth="1"/>
    <col min="11023" max="11023" width="12" customWidth="1"/>
    <col min="11024" max="11024" width="2.42857142857143" customWidth="1"/>
    <col min="11025" max="11028" width="9" hidden="1" customWidth="1"/>
    <col min="11029" max="11029" width="7.71428571428571" customWidth="1"/>
    <col min="11030" max="11030" width="2.71428571428571" customWidth="1"/>
    <col min="11032" max="11032" width="12.7142857142857" customWidth="1"/>
    <col min="11261" max="11261" width="4.71428571428571" customWidth="1"/>
    <col min="11262" max="11262" width="9" hidden="1" customWidth="1"/>
    <col min="11263" max="11263" width="0.142857142857143" customWidth="1"/>
    <col min="11264" max="11264" width="79" customWidth="1"/>
    <col min="11265" max="11265" width="9.85714285714286" customWidth="1"/>
    <col min="11266" max="11266" width="15.1428571428571" customWidth="1"/>
    <col min="11267" max="11267" width="10.1428571428571" customWidth="1"/>
    <col min="11268" max="11270" width="9.71428571428571" customWidth="1"/>
    <col min="11271" max="11271" width="10.8571428571429" customWidth="1"/>
    <col min="11272" max="11272" width="9.71428571428571" customWidth="1"/>
    <col min="11273" max="11273" width="9.85714285714286" customWidth="1"/>
    <col min="11274" max="11274" width="7.42857142857143" customWidth="1"/>
    <col min="11275" max="11275" width="21.4285714285714" customWidth="1"/>
    <col min="11276" max="11276" width="27.8571428571429" customWidth="1"/>
    <col min="11277" max="11277" width="9.85714285714286" customWidth="1"/>
    <col min="11278" max="11278" width="7.42857142857143" customWidth="1"/>
    <col min="11279" max="11279" width="12" customWidth="1"/>
    <col min="11280" max="11280" width="2.42857142857143" customWidth="1"/>
    <col min="11281" max="11284" width="9" hidden="1" customWidth="1"/>
    <col min="11285" max="11285" width="7.71428571428571" customWidth="1"/>
    <col min="11286" max="11286" width="2.71428571428571" customWidth="1"/>
    <col min="11288" max="11288" width="12.7142857142857" customWidth="1"/>
    <col min="11517" max="11517" width="4.71428571428571" customWidth="1"/>
    <col min="11518" max="11518" width="9" hidden="1" customWidth="1"/>
    <col min="11519" max="11519" width="0.142857142857143" customWidth="1"/>
    <col min="11520" max="11520" width="79" customWidth="1"/>
    <col min="11521" max="11521" width="9.85714285714286" customWidth="1"/>
    <col min="11522" max="11522" width="15.1428571428571" customWidth="1"/>
    <col min="11523" max="11523" width="10.1428571428571" customWidth="1"/>
    <col min="11524" max="11526" width="9.71428571428571" customWidth="1"/>
    <col min="11527" max="11527" width="10.8571428571429" customWidth="1"/>
    <col min="11528" max="11528" width="9.71428571428571" customWidth="1"/>
    <col min="11529" max="11529" width="9.85714285714286" customWidth="1"/>
    <col min="11530" max="11530" width="7.42857142857143" customWidth="1"/>
    <col min="11531" max="11531" width="21.4285714285714" customWidth="1"/>
    <col min="11532" max="11532" width="27.8571428571429" customWidth="1"/>
    <col min="11533" max="11533" width="9.85714285714286" customWidth="1"/>
    <col min="11534" max="11534" width="7.42857142857143" customWidth="1"/>
    <col min="11535" max="11535" width="12" customWidth="1"/>
    <col min="11536" max="11536" width="2.42857142857143" customWidth="1"/>
    <col min="11537" max="11540" width="9" hidden="1" customWidth="1"/>
    <col min="11541" max="11541" width="7.71428571428571" customWidth="1"/>
    <col min="11542" max="11542" width="2.71428571428571" customWidth="1"/>
    <col min="11544" max="11544" width="12.7142857142857" customWidth="1"/>
    <col min="11773" max="11773" width="4.71428571428571" customWidth="1"/>
    <col min="11774" max="11774" width="9" hidden="1" customWidth="1"/>
    <col min="11775" max="11775" width="0.142857142857143" customWidth="1"/>
    <col min="11776" max="11776" width="79" customWidth="1"/>
    <col min="11777" max="11777" width="9.85714285714286" customWidth="1"/>
    <col min="11778" max="11778" width="15.1428571428571" customWidth="1"/>
    <col min="11779" max="11779" width="10.1428571428571" customWidth="1"/>
    <col min="11780" max="11782" width="9.71428571428571" customWidth="1"/>
    <col min="11783" max="11783" width="10.8571428571429" customWidth="1"/>
    <col min="11784" max="11784" width="9.71428571428571" customWidth="1"/>
    <col min="11785" max="11785" width="9.85714285714286" customWidth="1"/>
    <col min="11786" max="11786" width="7.42857142857143" customWidth="1"/>
    <col min="11787" max="11787" width="21.4285714285714" customWidth="1"/>
    <col min="11788" max="11788" width="27.8571428571429" customWidth="1"/>
    <col min="11789" max="11789" width="9.85714285714286" customWidth="1"/>
    <col min="11790" max="11790" width="7.42857142857143" customWidth="1"/>
    <col min="11791" max="11791" width="12" customWidth="1"/>
    <col min="11792" max="11792" width="2.42857142857143" customWidth="1"/>
    <col min="11793" max="11796" width="9" hidden="1" customWidth="1"/>
    <col min="11797" max="11797" width="7.71428571428571" customWidth="1"/>
    <col min="11798" max="11798" width="2.71428571428571" customWidth="1"/>
    <col min="11800" max="11800" width="12.7142857142857" customWidth="1"/>
    <col min="12029" max="12029" width="4.71428571428571" customWidth="1"/>
    <col min="12030" max="12030" width="9" hidden="1" customWidth="1"/>
    <col min="12031" max="12031" width="0.142857142857143" customWidth="1"/>
    <col min="12032" max="12032" width="79" customWidth="1"/>
    <col min="12033" max="12033" width="9.85714285714286" customWidth="1"/>
    <col min="12034" max="12034" width="15.1428571428571" customWidth="1"/>
    <col min="12035" max="12035" width="10.1428571428571" customWidth="1"/>
    <col min="12036" max="12038" width="9.71428571428571" customWidth="1"/>
    <col min="12039" max="12039" width="10.8571428571429" customWidth="1"/>
    <col min="12040" max="12040" width="9.71428571428571" customWidth="1"/>
    <col min="12041" max="12041" width="9.85714285714286" customWidth="1"/>
    <col min="12042" max="12042" width="7.42857142857143" customWidth="1"/>
    <col min="12043" max="12043" width="21.4285714285714" customWidth="1"/>
    <col min="12044" max="12044" width="27.8571428571429" customWidth="1"/>
    <col min="12045" max="12045" width="9.85714285714286" customWidth="1"/>
    <col min="12046" max="12046" width="7.42857142857143" customWidth="1"/>
    <col min="12047" max="12047" width="12" customWidth="1"/>
    <col min="12048" max="12048" width="2.42857142857143" customWidth="1"/>
    <col min="12049" max="12052" width="9" hidden="1" customWidth="1"/>
    <col min="12053" max="12053" width="7.71428571428571" customWidth="1"/>
    <col min="12054" max="12054" width="2.71428571428571" customWidth="1"/>
    <col min="12056" max="12056" width="12.7142857142857" customWidth="1"/>
    <col min="12285" max="12285" width="4.71428571428571" customWidth="1"/>
    <col min="12286" max="12286" width="9" hidden="1" customWidth="1"/>
    <col min="12287" max="12287" width="0.142857142857143" customWidth="1"/>
    <col min="12288" max="12288" width="79" customWidth="1"/>
    <col min="12289" max="12289" width="9.85714285714286" customWidth="1"/>
    <col min="12290" max="12290" width="15.1428571428571" customWidth="1"/>
    <col min="12291" max="12291" width="10.1428571428571" customWidth="1"/>
    <col min="12292" max="12294" width="9.71428571428571" customWidth="1"/>
    <col min="12295" max="12295" width="10.8571428571429" customWidth="1"/>
    <col min="12296" max="12296" width="9.71428571428571" customWidth="1"/>
    <col min="12297" max="12297" width="9.85714285714286" customWidth="1"/>
    <col min="12298" max="12298" width="7.42857142857143" customWidth="1"/>
    <col min="12299" max="12299" width="21.4285714285714" customWidth="1"/>
    <col min="12300" max="12300" width="27.8571428571429" customWidth="1"/>
    <col min="12301" max="12301" width="9.85714285714286" customWidth="1"/>
    <col min="12302" max="12302" width="7.42857142857143" customWidth="1"/>
    <col min="12303" max="12303" width="12" customWidth="1"/>
    <col min="12304" max="12304" width="2.42857142857143" customWidth="1"/>
    <col min="12305" max="12308" width="9" hidden="1" customWidth="1"/>
    <col min="12309" max="12309" width="7.71428571428571" customWidth="1"/>
    <col min="12310" max="12310" width="2.71428571428571" customWidth="1"/>
    <col min="12312" max="12312" width="12.7142857142857" customWidth="1"/>
    <col min="12541" max="12541" width="4.71428571428571" customWidth="1"/>
    <col min="12542" max="12542" width="9" hidden="1" customWidth="1"/>
    <col min="12543" max="12543" width="0.142857142857143" customWidth="1"/>
    <col min="12544" max="12544" width="79" customWidth="1"/>
    <col min="12545" max="12545" width="9.85714285714286" customWidth="1"/>
    <col min="12546" max="12546" width="15.1428571428571" customWidth="1"/>
    <col min="12547" max="12547" width="10.1428571428571" customWidth="1"/>
    <col min="12548" max="12550" width="9.71428571428571" customWidth="1"/>
    <col min="12551" max="12551" width="10.8571428571429" customWidth="1"/>
    <col min="12552" max="12552" width="9.71428571428571" customWidth="1"/>
    <col min="12553" max="12553" width="9.85714285714286" customWidth="1"/>
    <col min="12554" max="12554" width="7.42857142857143" customWidth="1"/>
    <col min="12555" max="12555" width="21.4285714285714" customWidth="1"/>
    <col min="12556" max="12556" width="27.8571428571429" customWidth="1"/>
    <col min="12557" max="12557" width="9.85714285714286" customWidth="1"/>
    <col min="12558" max="12558" width="7.42857142857143" customWidth="1"/>
    <col min="12559" max="12559" width="12" customWidth="1"/>
    <col min="12560" max="12560" width="2.42857142857143" customWidth="1"/>
    <col min="12561" max="12564" width="9" hidden="1" customWidth="1"/>
    <col min="12565" max="12565" width="7.71428571428571" customWidth="1"/>
    <col min="12566" max="12566" width="2.71428571428571" customWidth="1"/>
    <col min="12568" max="12568" width="12.7142857142857" customWidth="1"/>
    <col min="12797" max="12797" width="4.71428571428571" customWidth="1"/>
    <col min="12798" max="12798" width="9" hidden="1" customWidth="1"/>
    <col min="12799" max="12799" width="0.142857142857143" customWidth="1"/>
    <col min="12800" max="12800" width="79" customWidth="1"/>
    <col min="12801" max="12801" width="9.85714285714286" customWidth="1"/>
    <col min="12802" max="12802" width="15.1428571428571" customWidth="1"/>
    <col min="12803" max="12803" width="10.1428571428571" customWidth="1"/>
    <col min="12804" max="12806" width="9.71428571428571" customWidth="1"/>
    <col min="12807" max="12807" width="10.8571428571429" customWidth="1"/>
    <col min="12808" max="12808" width="9.71428571428571" customWidth="1"/>
    <col min="12809" max="12809" width="9.85714285714286" customWidth="1"/>
    <col min="12810" max="12810" width="7.42857142857143" customWidth="1"/>
    <col min="12811" max="12811" width="21.4285714285714" customWidth="1"/>
    <col min="12812" max="12812" width="27.8571428571429" customWidth="1"/>
    <col min="12813" max="12813" width="9.85714285714286" customWidth="1"/>
    <col min="12814" max="12814" width="7.42857142857143" customWidth="1"/>
    <col min="12815" max="12815" width="12" customWidth="1"/>
    <col min="12816" max="12816" width="2.42857142857143" customWidth="1"/>
    <col min="12817" max="12820" width="9" hidden="1" customWidth="1"/>
    <col min="12821" max="12821" width="7.71428571428571" customWidth="1"/>
    <col min="12822" max="12822" width="2.71428571428571" customWidth="1"/>
    <col min="12824" max="12824" width="12.7142857142857" customWidth="1"/>
    <col min="13053" max="13053" width="4.71428571428571" customWidth="1"/>
    <col min="13054" max="13054" width="9" hidden="1" customWidth="1"/>
    <col min="13055" max="13055" width="0.142857142857143" customWidth="1"/>
    <col min="13056" max="13056" width="79" customWidth="1"/>
    <col min="13057" max="13057" width="9.85714285714286" customWidth="1"/>
    <col min="13058" max="13058" width="15.1428571428571" customWidth="1"/>
    <col min="13059" max="13059" width="10.1428571428571" customWidth="1"/>
    <col min="13060" max="13062" width="9.71428571428571" customWidth="1"/>
    <col min="13063" max="13063" width="10.8571428571429" customWidth="1"/>
    <col min="13064" max="13064" width="9.71428571428571" customWidth="1"/>
    <col min="13065" max="13065" width="9.85714285714286" customWidth="1"/>
    <col min="13066" max="13066" width="7.42857142857143" customWidth="1"/>
    <col min="13067" max="13067" width="21.4285714285714" customWidth="1"/>
    <col min="13068" max="13068" width="27.8571428571429" customWidth="1"/>
    <col min="13069" max="13069" width="9.85714285714286" customWidth="1"/>
    <col min="13070" max="13070" width="7.42857142857143" customWidth="1"/>
    <col min="13071" max="13071" width="12" customWidth="1"/>
    <col min="13072" max="13072" width="2.42857142857143" customWidth="1"/>
    <col min="13073" max="13076" width="9" hidden="1" customWidth="1"/>
    <col min="13077" max="13077" width="7.71428571428571" customWidth="1"/>
    <col min="13078" max="13078" width="2.71428571428571" customWidth="1"/>
    <col min="13080" max="13080" width="12.7142857142857" customWidth="1"/>
    <col min="13309" max="13309" width="4.71428571428571" customWidth="1"/>
    <col min="13310" max="13310" width="9" hidden="1" customWidth="1"/>
    <col min="13311" max="13311" width="0.142857142857143" customWidth="1"/>
    <col min="13312" max="13312" width="79" customWidth="1"/>
    <col min="13313" max="13313" width="9.85714285714286" customWidth="1"/>
    <col min="13314" max="13314" width="15.1428571428571" customWidth="1"/>
    <col min="13315" max="13315" width="10.1428571428571" customWidth="1"/>
    <col min="13316" max="13318" width="9.71428571428571" customWidth="1"/>
    <col min="13319" max="13319" width="10.8571428571429" customWidth="1"/>
    <col min="13320" max="13320" width="9.71428571428571" customWidth="1"/>
    <col min="13321" max="13321" width="9.85714285714286" customWidth="1"/>
    <col min="13322" max="13322" width="7.42857142857143" customWidth="1"/>
    <col min="13323" max="13323" width="21.4285714285714" customWidth="1"/>
    <col min="13324" max="13324" width="27.8571428571429" customWidth="1"/>
    <col min="13325" max="13325" width="9.85714285714286" customWidth="1"/>
    <col min="13326" max="13326" width="7.42857142857143" customWidth="1"/>
    <col min="13327" max="13327" width="12" customWidth="1"/>
    <col min="13328" max="13328" width="2.42857142857143" customWidth="1"/>
    <col min="13329" max="13332" width="9" hidden="1" customWidth="1"/>
    <col min="13333" max="13333" width="7.71428571428571" customWidth="1"/>
    <col min="13334" max="13334" width="2.71428571428571" customWidth="1"/>
    <col min="13336" max="13336" width="12.7142857142857" customWidth="1"/>
    <col min="13565" max="13565" width="4.71428571428571" customWidth="1"/>
    <col min="13566" max="13566" width="9" hidden="1" customWidth="1"/>
    <col min="13567" max="13567" width="0.142857142857143" customWidth="1"/>
    <col min="13568" max="13568" width="79" customWidth="1"/>
    <col min="13569" max="13569" width="9.85714285714286" customWidth="1"/>
    <col min="13570" max="13570" width="15.1428571428571" customWidth="1"/>
    <col min="13571" max="13571" width="10.1428571428571" customWidth="1"/>
    <col min="13572" max="13574" width="9.71428571428571" customWidth="1"/>
    <col min="13575" max="13575" width="10.8571428571429" customWidth="1"/>
    <col min="13576" max="13576" width="9.71428571428571" customWidth="1"/>
    <col min="13577" max="13577" width="9.85714285714286" customWidth="1"/>
    <col min="13578" max="13578" width="7.42857142857143" customWidth="1"/>
    <col min="13579" max="13579" width="21.4285714285714" customWidth="1"/>
    <col min="13580" max="13580" width="27.8571428571429" customWidth="1"/>
    <col min="13581" max="13581" width="9.85714285714286" customWidth="1"/>
    <col min="13582" max="13582" width="7.42857142857143" customWidth="1"/>
    <col min="13583" max="13583" width="12" customWidth="1"/>
    <col min="13584" max="13584" width="2.42857142857143" customWidth="1"/>
    <col min="13585" max="13588" width="9" hidden="1" customWidth="1"/>
    <col min="13589" max="13589" width="7.71428571428571" customWidth="1"/>
    <col min="13590" max="13590" width="2.71428571428571" customWidth="1"/>
    <col min="13592" max="13592" width="12.7142857142857" customWidth="1"/>
    <col min="13821" max="13821" width="4.71428571428571" customWidth="1"/>
    <col min="13822" max="13822" width="9" hidden="1" customWidth="1"/>
    <col min="13823" max="13823" width="0.142857142857143" customWidth="1"/>
    <col min="13824" max="13824" width="79" customWidth="1"/>
    <col min="13825" max="13825" width="9.85714285714286" customWidth="1"/>
    <col min="13826" max="13826" width="15.1428571428571" customWidth="1"/>
    <col min="13827" max="13827" width="10.1428571428571" customWidth="1"/>
    <col min="13828" max="13830" width="9.71428571428571" customWidth="1"/>
    <col min="13831" max="13831" width="10.8571428571429" customWidth="1"/>
    <col min="13832" max="13832" width="9.71428571428571" customWidth="1"/>
    <col min="13833" max="13833" width="9.85714285714286" customWidth="1"/>
    <col min="13834" max="13834" width="7.42857142857143" customWidth="1"/>
    <col min="13835" max="13835" width="21.4285714285714" customWidth="1"/>
    <col min="13836" max="13836" width="27.8571428571429" customWidth="1"/>
    <col min="13837" max="13837" width="9.85714285714286" customWidth="1"/>
    <col min="13838" max="13838" width="7.42857142857143" customWidth="1"/>
    <col min="13839" max="13839" width="12" customWidth="1"/>
    <col min="13840" max="13840" width="2.42857142857143" customWidth="1"/>
    <col min="13841" max="13844" width="9" hidden="1" customWidth="1"/>
    <col min="13845" max="13845" width="7.71428571428571" customWidth="1"/>
    <col min="13846" max="13846" width="2.71428571428571" customWidth="1"/>
    <col min="13848" max="13848" width="12.7142857142857" customWidth="1"/>
    <col min="14077" max="14077" width="4.71428571428571" customWidth="1"/>
    <col min="14078" max="14078" width="9" hidden="1" customWidth="1"/>
    <col min="14079" max="14079" width="0.142857142857143" customWidth="1"/>
    <col min="14080" max="14080" width="79" customWidth="1"/>
    <col min="14081" max="14081" width="9.85714285714286" customWidth="1"/>
    <col min="14082" max="14082" width="15.1428571428571" customWidth="1"/>
    <col min="14083" max="14083" width="10.1428571428571" customWidth="1"/>
    <col min="14084" max="14086" width="9.71428571428571" customWidth="1"/>
    <col min="14087" max="14087" width="10.8571428571429" customWidth="1"/>
    <col min="14088" max="14088" width="9.71428571428571" customWidth="1"/>
    <col min="14089" max="14089" width="9.85714285714286" customWidth="1"/>
    <col min="14090" max="14090" width="7.42857142857143" customWidth="1"/>
    <col min="14091" max="14091" width="21.4285714285714" customWidth="1"/>
    <col min="14092" max="14092" width="27.8571428571429" customWidth="1"/>
    <col min="14093" max="14093" width="9.85714285714286" customWidth="1"/>
    <col min="14094" max="14094" width="7.42857142857143" customWidth="1"/>
    <col min="14095" max="14095" width="12" customWidth="1"/>
    <col min="14096" max="14096" width="2.42857142857143" customWidth="1"/>
    <col min="14097" max="14100" width="9" hidden="1" customWidth="1"/>
    <col min="14101" max="14101" width="7.71428571428571" customWidth="1"/>
    <col min="14102" max="14102" width="2.71428571428571" customWidth="1"/>
    <col min="14104" max="14104" width="12.7142857142857" customWidth="1"/>
    <col min="14333" max="14333" width="4.71428571428571" customWidth="1"/>
    <col min="14334" max="14334" width="9" hidden="1" customWidth="1"/>
    <col min="14335" max="14335" width="0.142857142857143" customWidth="1"/>
    <col min="14336" max="14336" width="79" customWidth="1"/>
    <col min="14337" max="14337" width="9.85714285714286" customWidth="1"/>
    <col min="14338" max="14338" width="15.1428571428571" customWidth="1"/>
    <col min="14339" max="14339" width="10.1428571428571" customWidth="1"/>
    <col min="14340" max="14342" width="9.71428571428571" customWidth="1"/>
    <col min="14343" max="14343" width="10.8571428571429" customWidth="1"/>
    <col min="14344" max="14344" width="9.71428571428571" customWidth="1"/>
    <col min="14345" max="14345" width="9.85714285714286" customWidth="1"/>
    <col min="14346" max="14346" width="7.42857142857143" customWidth="1"/>
    <col min="14347" max="14347" width="21.4285714285714" customWidth="1"/>
    <col min="14348" max="14348" width="27.8571428571429" customWidth="1"/>
    <col min="14349" max="14349" width="9.85714285714286" customWidth="1"/>
    <col min="14350" max="14350" width="7.42857142857143" customWidth="1"/>
    <col min="14351" max="14351" width="12" customWidth="1"/>
    <col min="14352" max="14352" width="2.42857142857143" customWidth="1"/>
    <col min="14353" max="14356" width="9" hidden="1" customWidth="1"/>
    <col min="14357" max="14357" width="7.71428571428571" customWidth="1"/>
    <col min="14358" max="14358" width="2.71428571428571" customWidth="1"/>
    <col min="14360" max="14360" width="12.7142857142857" customWidth="1"/>
    <col min="14589" max="14589" width="4.71428571428571" customWidth="1"/>
    <col min="14590" max="14590" width="9" hidden="1" customWidth="1"/>
    <col min="14591" max="14591" width="0.142857142857143" customWidth="1"/>
    <col min="14592" max="14592" width="79" customWidth="1"/>
    <col min="14593" max="14593" width="9.85714285714286" customWidth="1"/>
    <col min="14594" max="14594" width="15.1428571428571" customWidth="1"/>
    <col min="14595" max="14595" width="10.1428571428571" customWidth="1"/>
    <col min="14596" max="14598" width="9.71428571428571" customWidth="1"/>
    <col min="14599" max="14599" width="10.8571428571429" customWidth="1"/>
    <col min="14600" max="14600" width="9.71428571428571" customWidth="1"/>
    <col min="14601" max="14601" width="9.85714285714286" customWidth="1"/>
    <col min="14602" max="14602" width="7.42857142857143" customWidth="1"/>
    <col min="14603" max="14603" width="21.4285714285714" customWidth="1"/>
    <col min="14604" max="14604" width="27.8571428571429" customWidth="1"/>
    <col min="14605" max="14605" width="9.85714285714286" customWidth="1"/>
    <col min="14606" max="14606" width="7.42857142857143" customWidth="1"/>
    <col min="14607" max="14607" width="12" customWidth="1"/>
    <col min="14608" max="14608" width="2.42857142857143" customWidth="1"/>
    <col min="14609" max="14612" width="9" hidden="1" customWidth="1"/>
    <col min="14613" max="14613" width="7.71428571428571" customWidth="1"/>
    <col min="14614" max="14614" width="2.71428571428571" customWidth="1"/>
    <col min="14616" max="14616" width="12.7142857142857" customWidth="1"/>
    <col min="14845" max="14845" width="4.71428571428571" customWidth="1"/>
    <col min="14846" max="14846" width="9" hidden="1" customWidth="1"/>
    <col min="14847" max="14847" width="0.142857142857143" customWidth="1"/>
    <col min="14848" max="14848" width="79" customWidth="1"/>
    <col min="14849" max="14849" width="9.85714285714286" customWidth="1"/>
    <col min="14850" max="14850" width="15.1428571428571" customWidth="1"/>
    <col min="14851" max="14851" width="10.1428571428571" customWidth="1"/>
    <col min="14852" max="14854" width="9.71428571428571" customWidth="1"/>
    <col min="14855" max="14855" width="10.8571428571429" customWidth="1"/>
    <col min="14856" max="14856" width="9.71428571428571" customWidth="1"/>
    <col min="14857" max="14857" width="9.85714285714286" customWidth="1"/>
    <col min="14858" max="14858" width="7.42857142857143" customWidth="1"/>
    <col min="14859" max="14859" width="21.4285714285714" customWidth="1"/>
    <col min="14860" max="14860" width="27.8571428571429" customWidth="1"/>
    <col min="14861" max="14861" width="9.85714285714286" customWidth="1"/>
    <col min="14862" max="14862" width="7.42857142857143" customWidth="1"/>
    <col min="14863" max="14863" width="12" customWidth="1"/>
    <col min="14864" max="14864" width="2.42857142857143" customWidth="1"/>
    <col min="14865" max="14868" width="9" hidden="1" customWidth="1"/>
    <col min="14869" max="14869" width="7.71428571428571" customWidth="1"/>
    <col min="14870" max="14870" width="2.71428571428571" customWidth="1"/>
    <col min="14872" max="14872" width="12.7142857142857" customWidth="1"/>
    <col min="15101" max="15101" width="4.71428571428571" customWidth="1"/>
    <col min="15102" max="15102" width="9" hidden="1" customWidth="1"/>
    <col min="15103" max="15103" width="0.142857142857143" customWidth="1"/>
    <col min="15104" max="15104" width="79" customWidth="1"/>
    <col min="15105" max="15105" width="9.85714285714286" customWidth="1"/>
    <col min="15106" max="15106" width="15.1428571428571" customWidth="1"/>
    <col min="15107" max="15107" width="10.1428571428571" customWidth="1"/>
    <col min="15108" max="15110" width="9.71428571428571" customWidth="1"/>
    <col min="15111" max="15111" width="10.8571428571429" customWidth="1"/>
    <col min="15112" max="15112" width="9.71428571428571" customWidth="1"/>
    <col min="15113" max="15113" width="9.85714285714286" customWidth="1"/>
    <col min="15114" max="15114" width="7.42857142857143" customWidth="1"/>
    <col min="15115" max="15115" width="21.4285714285714" customWidth="1"/>
    <col min="15116" max="15116" width="27.8571428571429" customWidth="1"/>
    <col min="15117" max="15117" width="9.85714285714286" customWidth="1"/>
    <col min="15118" max="15118" width="7.42857142857143" customWidth="1"/>
    <col min="15119" max="15119" width="12" customWidth="1"/>
    <col min="15120" max="15120" width="2.42857142857143" customWidth="1"/>
    <col min="15121" max="15124" width="9" hidden="1" customWidth="1"/>
    <col min="15125" max="15125" width="7.71428571428571" customWidth="1"/>
    <col min="15126" max="15126" width="2.71428571428571" customWidth="1"/>
    <col min="15128" max="15128" width="12.7142857142857" customWidth="1"/>
    <col min="15357" max="15357" width="4.71428571428571" customWidth="1"/>
    <col min="15358" max="15358" width="9" hidden="1" customWidth="1"/>
    <col min="15359" max="15359" width="0.142857142857143" customWidth="1"/>
    <col min="15360" max="15360" width="79" customWidth="1"/>
    <col min="15361" max="15361" width="9.85714285714286" customWidth="1"/>
    <col min="15362" max="15362" width="15.1428571428571" customWidth="1"/>
    <col min="15363" max="15363" width="10.1428571428571" customWidth="1"/>
    <col min="15364" max="15366" width="9.71428571428571" customWidth="1"/>
    <col min="15367" max="15367" width="10.8571428571429" customWidth="1"/>
    <col min="15368" max="15368" width="9.71428571428571" customWidth="1"/>
    <col min="15369" max="15369" width="9.85714285714286" customWidth="1"/>
    <col min="15370" max="15370" width="7.42857142857143" customWidth="1"/>
    <col min="15371" max="15371" width="21.4285714285714" customWidth="1"/>
    <col min="15372" max="15372" width="27.8571428571429" customWidth="1"/>
    <col min="15373" max="15373" width="9.85714285714286" customWidth="1"/>
    <col min="15374" max="15374" width="7.42857142857143" customWidth="1"/>
    <col min="15375" max="15375" width="12" customWidth="1"/>
    <col min="15376" max="15376" width="2.42857142857143" customWidth="1"/>
    <col min="15377" max="15380" width="9" hidden="1" customWidth="1"/>
    <col min="15381" max="15381" width="7.71428571428571" customWidth="1"/>
    <col min="15382" max="15382" width="2.71428571428571" customWidth="1"/>
    <col min="15384" max="15384" width="12.7142857142857" customWidth="1"/>
    <col min="15613" max="15613" width="4.71428571428571" customWidth="1"/>
    <col min="15614" max="15614" width="9" hidden="1" customWidth="1"/>
    <col min="15615" max="15615" width="0.142857142857143" customWidth="1"/>
    <col min="15616" max="15616" width="79" customWidth="1"/>
    <col min="15617" max="15617" width="9.85714285714286" customWidth="1"/>
    <col min="15618" max="15618" width="15.1428571428571" customWidth="1"/>
    <col min="15619" max="15619" width="10.1428571428571" customWidth="1"/>
    <col min="15620" max="15622" width="9.71428571428571" customWidth="1"/>
    <col min="15623" max="15623" width="10.8571428571429" customWidth="1"/>
    <col min="15624" max="15624" width="9.71428571428571" customWidth="1"/>
    <col min="15625" max="15625" width="9.85714285714286" customWidth="1"/>
    <col min="15626" max="15626" width="7.42857142857143" customWidth="1"/>
    <col min="15627" max="15627" width="21.4285714285714" customWidth="1"/>
    <col min="15628" max="15628" width="27.8571428571429" customWidth="1"/>
    <col min="15629" max="15629" width="9.85714285714286" customWidth="1"/>
    <col min="15630" max="15630" width="7.42857142857143" customWidth="1"/>
    <col min="15631" max="15631" width="12" customWidth="1"/>
    <col min="15632" max="15632" width="2.42857142857143" customWidth="1"/>
    <col min="15633" max="15636" width="9" hidden="1" customWidth="1"/>
    <col min="15637" max="15637" width="7.71428571428571" customWidth="1"/>
    <col min="15638" max="15638" width="2.71428571428571" customWidth="1"/>
    <col min="15640" max="15640" width="12.7142857142857" customWidth="1"/>
    <col min="15869" max="15869" width="4.71428571428571" customWidth="1"/>
    <col min="15870" max="15870" width="9" hidden="1" customWidth="1"/>
    <col min="15871" max="15871" width="0.142857142857143" customWidth="1"/>
    <col min="15872" max="15872" width="79" customWidth="1"/>
    <col min="15873" max="15873" width="9.85714285714286" customWidth="1"/>
    <col min="15874" max="15874" width="15.1428571428571" customWidth="1"/>
    <col min="15875" max="15875" width="10.1428571428571" customWidth="1"/>
    <col min="15876" max="15878" width="9.71428571428571" customWidth="1"/>
    <col min="15879" max="15879" width="10.8571428571429" customWidth="1"/>
    <col min="15880" max="15880" width="9.71428571428571" customWidth="1"/>
    <col min="15881" max="15881" width="9.85714285714286" customWidth="1"/>
    <col min="15882" max="15882" width="7.42857142857143" customWidth="1"/>
    <col min="15883" max="15883" width="21.4285714285714" customWidth="1"/>
    <col min="15884" max="15884" width="27.8571428571429" customWidth="1"/>
    <col min="15885" max="15885" width="9.85714285714286" customWidth="1"/>
    <col min="15886" max="15886" width="7.42857142857143" customWidth="1"/>
    <col min="15887" max="15887" width="12" customWidth="1"/>
    <col min="15888" max="15888" width="2.42857142857143" customWidth="1"/>
    <col min="15889" max="15892" width="9" hidden="1" customWidth="1"/>
    <col min="15893" max="15893" width="7.71428571428571" customWidth="1"/>
    <col min="15894" max="15894" width="2.71428571428571" customWidth="1"/>
    <col min="15896" max="15896" width="12.7142857142857" customWidth="1"/>
    <col min="16125" max="16125" width="4.71428571428571" customWidth="1"/>
    <col min="16126" max="16126" width="9" hidden="1" customWidth="1"/>
    <col min="16127" max="16127" width="0.142857142857143" customWidth="1"/>
    <col min="16128" max="16128" width="79" customWidth="1"/>
    <col min="16129" max="16129" width="9.85714285714286" customWidth="1"/>
    <col min="16130" max="16130" width="15.1428571428571" customWidth="1"/>
    <col min="16131" max="16131" width="10.1428571428571" customWidth="1"/>
    <col min="16132" max="16134" width="9.71428571428571" customWidth="1"/>
    <col min="16135" max="16135" width="10.8571428571429" customWidth="1"/>
    <col min="16136" max="16136" width="9.71428571428571" customWidth="1"/>
    <col min="16137" max="16137" width="9.85714285714286" customWidth="1"/>
    <col min="16138" max="16138" width="7.42857142857143" customWidth="1"/>
    <col min="16139" max="16139" width="21.4285714285714" customWidth="1"/>
    <col min="16140" max="16140" width="27.8571428571429" customWidth="1"/>
    <col min="16141" max="16141" width="9.85714285714286" customWidth="1"/>
    <col min="16142" max="16142" width="7.42857142857143" customWidth="1"/>
    <col min="16143" max="16143" width="12" customWidth="1"/>
    <col min="16144" max="16144" width="2.42857142857143" customWidth="1"/>
    <col min="16145" max="16148" width="9" hidden="1" customWidth="1"/>
    <col min="16149" max="16149" width="7.71428571428571" customWidth="1"/>
    <col min="16150" max="16150" width="2.71428571428571" customWidth="1"/>
    <col min="16152" max="16152" width="12.7142857142857" customWidth="1"/>
  </cols>
  <sheetData>
    <row r="1" ht="24.75" customHeight="1" spans="1:4">
      <c r="A1" s="2" t="str">
        <f>Summary!A1</f>
        <v>                             Safe City Index</v>
      </c>
      <c r="D1" t="s">
        <v>1699</v>
      </c>
    </row>
    <row r="2" ht="26.25" customHeight="1"/>
    <row r="3" ht="50.25" customHeight="1"/>
    <row r="4" spans="4:10">
      <c r="D4" s="79" t="s">
        <v>1704</v>
      </c>
      <c r="E4" s="79"/>
      <c r="F4" s="79"/>
      <c r="G4" s="80"/>
      <c r="H4" s="80"/>
      <c r="I4" s="80"/>
      <c r="J4" s="80"/>
    </row>
    <row r="5" ht="6.75" customHeight="1" spans="4:10">
      <c r="D5" s="79"/>
      <c r="E5" s="79"/>
      <c r="F5" s="79"/>
      <c r="G5" s="80"/>
      <c r="H5" s="80"/>
      <c r="I5" s="80"/>
      <c r="J5" s="80"/>
    </row>
    <row r="6" ht="18" customHeight="1" spans="4:11">
      <c r="D6" s="81"/>
      <c r="E6" s="81"/>
      <c r="F6" s="81"/>
      <c r="G6" s="81" t="str">
        <f>iCityComp!C1</f>
        <v>Abu Dhabi</v>
      </c>
      <c r="H6" s="81"/>
      <c r="I6" s="81" t="str">
        <f>iCityComp!C2</f>
        <v>Paris</v>
      </c>
      <c r="J6" s="81"/>
      <c r="K6" s="99"/>
    </row>
    <row r="7" spans="4:11">
      <c r="D7" s="81"/>
      <c r="E7" s="81"/>
      <c r="F7" s="81"/>
      <c r="G7" s="81" t="str">
        <f>iCityComp!D7</f>
        <v>Score / 100</v>
      </c>
      <c r="H7" s="81" t="str">
        <f>iCityComp!E7</f>
        <v>Rank / 50</v>
      </c>
      <c r="I7" s="81" t="str">
        <f>iCityComp!D7</f>
        <v>Score / 100</v>
      </c>
      <c r="J7" s="81" t="str">
        <f>iCityComp!E7</f>
        <v>Rank / 50</v>
      </c>
      <c r="K7" s="100"/>
    </row>
    <row r="8" spans="4:11">
      <c r="D8" s="82" t="str">
        <f>iCityComp!C9</f>
        <v>TOTAL SCORE</v>
      </c>
      <c r="E8" s="82"/>
      <c r="F8" s="82"/>
      <c r="G8" s="83">
        <f>iCityComp!D9</f>
        <v>69.83</v>
      </c>
      <c r="H8" s="84">
        <f ca="1">iCityComp!E9</f>
        <v>25</v>
      </c>
      <c r="I8" s="83">
        <f>iCityComp!F9</f>
        <v>71.21</v>
      </c>
      <c r="J8" s="84">
        <f ca="1">iCityComp!G9</f>
        <v>23</v>
      </c>
      <c r="K8" s="101"/>
    </row>
    <row r="9" spans="4:11">
      <c r="D9" s="82" t="str">
        <f>iCityComp!C10</f>
        <v>1) DIGITAL SECURITY</v>
      </c>
      <c r="E9" s="82"/>
      <c r="F9" s="82"/>
      <c r="G9" s="83">
        <f>iCityComp!D10</f>
        <v>73.71</v>
      </c>
      <c r="H9" s="84">
        <f ca="1">iCityComp!E10</f>
        <v>9</v>
      </c>
      <c r="I9" s="83">
        <f>iCityComp!F10</f>
        <v>58.4</v>
      </c>
      <c r="J9" s="84">
        <f ca="1">iCityComp!G10</f>
        <v>32</v>
      </c>
      <c r="K9" s="101"/>
    </row>
    <row r="10" spans="4:11">
      <c r="D10" s="82" t="str">
        <f>iCityComp!C11</f>
        <v>2) HEALTH SECURITY</v>
      </c>
      <c r="E10" s="82"/>
      <c r="F10" s="82"/>
      <c r="G10" s="83">
        <f>iCityComp!D11</f>
        <v>52.06</v>
      </c>
      <c r="H10" s="84">
        <f ca="1">iCityComp!E11</f>
        <v>45</v>
      </c>
      <c r="I10" s="83">
        <f>iCityComp!F11</f>
        <v>76.95</v>
      </c>
      <c r="J10" s="84">
        <f ca="1">iCityComp!G11</f>
        <v>5</v>
      </c>
      <c r="K10" s="101"/>
    </row>
    <row r="11" spans="4:11">
      <c r="D11" s="82" t="str">
        <f>iCityComp!C12</f>
        <v>3) INFRASTRUCTURE SAFETY</v>
      </c>
      <c r="E11" s="82"/>
      <c r="F11" s="82"/>
      <c r="G11" s="83">
        <f>iCityComp!D12</f>
        <v>86.16</v>
      </c>
      <c r="H11" s="84" t="str">
        <f ca="1">iCityComp!E12</f>
        <v>=10</v>
      </c>
      <c r="I11" s="83">
        <f>iCityComp!F12</f>
        <v>78.22</v>
      </c>
      <c r="J11" s="84">
        <f ca="1">iCityComp!G12</f>
        <v>26</v>
      </c>
      <c r="K11" s="101"/>
    </row>
    <row r="12" spans="4:11">
      <c r="D12" s="82" t="str">
        <f>iCityComp!C13</f>
        <v>4) PERSONAL SAFETY</v>
      </c>
      <c r="E12" s="82"/>
      <c r="F12" s="82"/>
      <c r="G12" s="83">
        <f>iCityComp!D13</f>
        <v>67.39</v>
      </c>
      <c r="H12" s="84">
        <f ca="1">iCityComp!E13</f>
        <v>32</v>
      </c>
      <c r="I12" s="83">
        <f>iCityComp!F13</f>
        <v>71.29</v>
      </c>
      <c r="J12" s="84">
        <f ca="1">iCityComp!G13</f>
        <v>24</v>
      </c>
      <c r="K12" s="101"/>
    </row>
    <row r="13" spans="7:11">
      <c r="G13" s="12"/>
      <c r="H13" s="12"/>
      <c r="I13" s="12"/>
      <c r="J13" s="12"/>
      <c r="K13" s="101"/>
    </row>
    <row r="14" spans="4:11">
      <c r="D14" s="239" t="s">
        <v>1705</v>
      </c>
      <c r="E14" s="85"/>
      <c r="F14" s="85"/>
      <c r="G14" s="86"/>
      <c r="H14" s="86"/>
      <c r="I14" s="86"/>
      <c r="J14" s="86"/>
      <c r="K14" s="12"/>
    </row>
    <row r="15" ht="24.75" customHeight="1" spans="4:6">
      <c r="D15" s="87" t="s">
        <v>1706</v>
      </c>
      <c r="E15" s="87"/>
      <c r="F15" s="87"/>
    </row>
    <row r="16" spans="3:10">
      <c r="C16" s="88"/>
      <c r="D16" s="89"/>
      <c r="E16" s="89"/>
      <c r="F16" s="89"/>
      <c r="G16" s="89" t="str">
        <f>iCityComp!$C$1</f>
        <v>Abu Dhabi</v>
      </c>
      <c r="H16" s="89"/>
      <c r="I16" s="89" t="str">
        <f>iCityComp!$C$2</f>
        <v>Paris</v>
      </c>
      <c r="J16" s="89"/>
    </row>
    <row r="17" spans="3:10">
      <c r="C17" s="88"/>
      <c r="D17" s="89"/>
      <c r="E17" s="89"/>
      <c r="F17" s="89"/>
      <c r="G17" s="89" t="s">
        <v>400</v>
      </c>
      <c r="H17" s="89"/>
      <c r="I17" s="89" t="s">
        <v>400</v>
      </c>
      <c r="J17" s="89"/>
    </row>
    <row r="18" customHeight="1" spans="3:10">
      <c r="C18" s="90">
        <f>IF(iCompare!T8&gt;0,1,0)</f>
        <v>1</v>
      </c>
      <c r="D18" s="91" t="str">
        <f>IF(iCompare!V8="","",iCompare!V8)</f>
        <v>1.1.1) Privacy policy</v>
      </c>
      <c r="E18" s="91"/>
      <c r="F18" s="92">
        <f>iCompare!AE8</f>
        <v>0</v>
      </c>
      <c r="G18" s="93">
        <f>IF(iCompare!W8="","",iCompare!W8)</f>
        <v>4</v>
      </c>
      <c r="H18" s="91" t="str">
        <f>IF(ISERR(iCompare!X8),"-",IF(iCompare!X8="","",iCompare!X8))</f>
        <v>x</v>
      </c>
      <c r="I18" s="93">
        <f>IF(iCompare!Y8="","",iCompare!Y8)</f>
        <v>3</v>
      </c>
      <c r="J18" s="91" t="str">
        <f>IF(ISERR(iCompare!X8),"-",IF(iCompare!Z8="","",iCompare!Z8))</f>
        <v>x</v>
      </c>
    </row>
    <row r="19" customHeight="1" spans="3:10">
      <c r="C19" s="90">
        <f>IF(iCompare!T9&gt;0,1,0)</f>
        <v>1</v>
      </c>
      <c r="D19" s="91" t="str">
        <f>IF(iCompare!V9="","",iCompare!V9)</f>
        <v>1.1.2) Citizen awareness of digital threats</v>
      </c>
      <c r="E19" s="91"/>
      <c r="F19" s="92">
        <f>iCompare!AE9</f>
        <v>0</v>
      </c>
      <c r="G19" s="93">
        <f>IF(iCompare!W9="","",iCompare!W9)</f>
        <v>2</v>
      </c>
      <c r="H19" s="91" t="str">
        <f>IF(ISERR(iCompare!X9),"-",IF(iCompare!X9="","",iCompare!X9))</f>
        <v>*</v>
      </c>
      <c r="I19" s="93">
        <f>IF(iCompare!Y9="","",iCompare!Y9)</f>
        <v>0</v>
      </c>
      <c r="J19" s="91" t="str">
        <f>IF(ISERR(iCompare!X9),"-",IF(iCompare!Z9="","",iCompare!Z9))</f>
        <v>x</v>
      </c>
    </row>
    <row r="20" customHeight="1" spans="3:10">
      <c r="C20" s="90">
        <f>IF(iCompare!T10&gt;0,1,0)</f>
        <v>1</v>
      </c>
      <c r="D20" s="91" t="str">
        <f>IF(iCompare!V10="","",iCompare!V10)</f>
        <v>1.1.3) City reliance on digital infrastructure</v>
      </c>
      <c r="E20" s="91"/>
      <c r="F20" s="92">
        <f>iCompare!AE10</f>
        <v>0</v>
      </c>
      <c r="G20" s="93">
        <f>IF(iCompare!W10="","",iCompare!W10)</f>
        <v>0</v>
      </c>
      <c r="H20" s="91" t="str">
        <f>IF(ISERR(iCompare!X10),"-",IF(iCompare!X10="","",iCompare!X10))</f>
        <v>*</v>
      </c>
      <c r="I20" s="93">
        <f>IF(iCompare!Y10="","",iCompare!Y10)</f>
        <v>0</v>
      </c>
      <c r="J20" s="91" t="str">
        <f>IF(ISERR(iCompare!X10),"-",IF(iCompare!Z10="","",iCompare!Z10))</f>
        <v>*</v>
      </c>
    </row>
    <row r="21" customHeight="1" spans="3:10">
      <c r="C21" s="90">
        <f>IF(iCompare!T11&gt;0,1,0)</f>
        <v>1</v>
      </c>
      <c r="D21" s="91" t="str">
        <f>IF(iCompare!V11="","",iCompare!V11)</f>
        <v>1.1.4) Public-private partnerships</v>
      </c>
      <c r="E21" s="91"/>
      <c r="F21" s="92">
        <f>iCompare!AE11</f>
        <v>0</v>
      </c>
      <c r="G21" s="93">
        <f>IF(iCompare!W11="","",iCompare!W11)</f>
        <v>1</v>
      </c>
      <c r="H21" s="91" t="str">
        <f>IF(ISERR(iCompare!X11),"-",IF(iCompare!X11="","",iCompare!X11))</f>
        <v>*</v>
      </c>
      <c r="I21" s="93">
        <f>IF(iCompare!Y11="","",iCompare!Y11)</f>
        <v>1</v>
      </c>
      <c r="J21" s="91" t="str">
        <f>IF(ISERR(iCompare!X11),"-",IF(iCompare!Z11="","",iCompare!Z11))</f>
        <v>*</v>
      </c>
    </row>
    <row r="22" customHeight="1" spans="3:10">
      <c r="C22" s="90">
        <f>IF(iCompare!T12&gt;0,1,0)</f>
        <v>1</v>
      </c>
      <c r="D22" s="91" t="str">
        <f>IF(iCompare!V12="","",iCompare!V12)</f>
        <v>1.1.5) Level of technology employed</v>
      </c>
      <c r="E22" s="91"/>
      <c r="F22" s="92">
        <f>iCompare!AE12</f>
        <v>0</v>
      </c>
      <c r="G22" s="93">
        <f>IF(iCompare!W12="","",iCompare!W12)</f>
        <v>100</v>
      </c>
      <c r="H22" s="91" t="str">
        <f>IF(ISERR(iCompare!X12),"-",IF(iCompare!X12="","",iCompare!X12))</f>
        <v>*</v>
      </c>
      <c r="I22" s="93">
        <f>IF(iCompare!Y12="","",iCompare!Y12)</f>
        <v>100</v>
      </c>
      <c r="J22" s="91" t="str">
        <f>IF(ISERR(iCompare!X12),"-",IF(iCompare!Z12="","",iCompare!Z12))</f>
        <v>*</v>
      </c>
    </row>
    <row r="23" customHeight="1" spans="3:10">
      <c r="C23" s="90">
        <f>IF(iCompare!T13&gt;0,1,0)</f>
        <v>1</v>
      </c>
      <c r="D23" s="91" t="str">
        <f>IF(iCompare!V13="","",iCompare!V13)</f>
        <v>1.1.6) Dedicated cyber security teams</v>
      </c>
      <c r="E23" s="91"/>
      <c r="F23" s="92">
        <f>iCompare!AE13</f>
        <v>0</v>
      </c>
      <c r="G23" s="93">
        <f>IF(iCompare!W13="","",iCompare!W13)</f>
        <v>2</v>
      </c>
      <c r="H23" s="91" t="str">
        <f>IF(ISERR(iCompare!X13),"-",IF(iCompare!X13="","",iCompare!X13))</f>
        <v>*</v>
      </c>
      <c r="I23" s="93">
        <f>IF(iCompare!Y13="","",iCompare!Y13)</f>
        <v>1</v>
      </c>
      <c r="J23" s="91" t="str">
        <f>IF(ISERR(iCompare!X13),"-",IF(iCompare!Z13="","",iCompare!Z13))</f>
        <v/>
      </c>
    </row>
    <row r="24" customHeight="1" spans="3:10">
      <c r="C24" s="90">
        <f>IF(iCompare!T14&gt;0,1,0)</f>
        <v>1</v>
      </c>
      <c r="D24" s="91" t="str">
        <f>IF(iCompare!V14="","",iCompare!V14)</f>
        <v>1.2.1) Frequency of identity theft</v>
      </c>
      <c r="E24" s="91"/>
      <c r="F24" s="92">
        <f>iCompare!AE14</f>
        <v>0</v>
      </c>
      <c r="G24" s="93">
        <f>IF(iCompare!W14="","",iCompare!W14)</f>
        <v>0.5</v>
      </c>
      <c r="H24" s="91" t="str">
        <f>IF(ISERR(iCompare!X14),"-",IF(iCompare!X14="","",iCompare!X14))</f>
        <v/>
      </c>
      <c r="I24" s="93">
        <f>IF(iCompare!Y14="","",iCompare!Y14)</f>
        <v>1</v>
      </c>
      <c r="J24" s="91" t="str">
        <f>IF(ISERR(iCompare!X14),"-",IF(iCompare!Z14="","",iCompare!Z14))</f>
        <v/>
      </c>
    </row>
    <row r="25" customHeight="1" spans="3:10">
      <c r="C25" s="90">
        <f>IF(iCompare!T15&gt;0,1,0)</f>
        <v>1</v>
      </c>
      <c r="D25" s="91" t="str">
        <f>IF(iCompare!V15="","",iCompare!V15)</f>
        <v>1.2.2) Precentage of computers infected</v>
      </c>
      <c r="E25" s="91"/>
      <c r="F25" s="92">
        <f>iCompare!AE15</f>
        <v>0</v>
      </c>
      <c r="G25" s="93">
        <f>IF(iCompare!W15="","",iCompare!W15)</f>
        <v>3</v>
      </c>
      <c r="H25" s="91" t="str">
        <f>IF(ISERR(iCompare!X15),"-",IF(iCompare!X15="","",iCompare!X15))</f>
        <v>x</v>
      </c>
      <c r="I25" s="93">
        <f>IF(iCompare!Y15="","",iCompare!Y15)</f>
        <v>4</v>
      </c>
      <c r="J25" s="91" t="str">
        <f>IF(ISERR(iCompare!X15),"-",IF(iCompare!Z15="","",iCompare!Z15))</f>
        <v>x</v>
      </c>
    </row>
    <row r="26" customHeight="1" spans="3:10">
      <c r="C26" s="90">
        <f>IF(iCompare!T16&gt;0,1,0)</f>
        <v>1</v>
      </c>
      <c r="D26" s="91" t="str">
        <f>IF(iCompare!V16="","",iCompare!V16)</f>
        <v>1.2.3) Percent with internet access</v>
      </c>
      <c r="E26" s="91"/>
      <c r="F26" s="92">
        <f>iCompare!AE16</f>
        <v>0</v>
      </c>
      <c r="G26" s="93">
        <f>IF(iCompare!W16="","",iCompare!W16)</f>
        <v>0.88</v>
      </c>
      <c r="H26" s="91" t="str">
        <f>IF(ISERR(iCompare!X16),"-",IF(iCompare!X16="","",iCompare!X16))</f>
        <v>*</v>
      </c>
      <c r="I26" s="93">
        <f>IF(iCompare!Y16="","",iCompare!Y16)</f>
        <v>0.82</v>
      </c>
      <c r="J26" s="91" t="str">
        <f>IF(ISERR(iCompare!X16),"-",IF(iCompare!Z16="","",iCompare!Z16))</f>
        <v/>
      </c>
    </row>
    <row r="27" hidden="1" customHeight="1" spans="3:11">
      <c r="C27" s="90">
        <f>IF(iCompare!T17&gt;0,1,0)</f>
        <v>0</v>
      </c>
      <c r="D27" s="91" t="str">
        <f>IF(iCompare!V17="","",iCompare!V17)</f>
        <v/>
      </c>
      <c r="E27" s="91"/>
      <c r="F27" s="92" t="str">
        <f>iCompare!AE17</f>
        <v/>
      </c>
      <c r="G27" s="93" t="str">
        <f>IF(iCompare!W17="","",iCompare!W17)</f>
        <v/>
      </c>
      <c r="H27" s="91" t="str">
        <f>IF(ISERR(iCompare!X17),"-",IF(iCompare!X17="","",iCompare!X17))</f>
        <v/>
      </c>
      <c r="I27" s="93" t="str">
        <f>IF(iCompare!Y17="","",iCompare!Y17)</f>
        <v/>
      </c>
      <c r="J27" s="91" t="str">
        <f>IF(ISERR(iCompare!X17),"-",IF(iCompare!Z17="","",iCompare!Z17))</f>
        <v/>
      </c>
      <c r="K27" s="90"/>
    </row>
    <row r="28" hidden="1" customHeight="1" spans="3:11">
      <c r="C28" s="90">
        <f>IF(iCompare!T18&gt;0,1,0)</f>
        <v>0</v>
      </c>
      <c r="D28" s="91" t="str">
        <f>IF(iCompare!V18="","",iCompare!V18)</f>
        <v/>
      </c>
      <c r="E28" s="91"/>
      <c r="F28" s="92" t="str">
        <f>iCompare!AE18</f>
        <v/>
      </c>
      <c r="G28" s="93" t="str">
        <f>IF(iCompare!W18="","",iCompare!W18)</f>
        <v/>
      </c>
      <c r="H28" s="91" t="str">
        <f>IF(ISERR(iCompare!X18),"-",IF(iCompare!X18="","",iCompare!X18))</f>
        <v/>
      </c>
      <c r="I28" s="93" t="str">
        <f>IF(iCompare!Y18="","",iCompare!Y18)</f>
        <v/>
      </c>
      <c r="J28" s="91" t="str">
        <f>IF(ISERR(iCompare!X18),"-",IF(iCompare!Z18="","",iCompare!Z18))</f>
        <v/>
      </c>
      <c r="K28" s="90"/>
    </row>
    <row r="29" hidden="1" customHeight="1" spans="3:11">
      <c r="C29" s="90">
        <f>IF(iCompare!T19&gt;0,1,0)</f>
        <v>0</v>
      </c>
      <c r="D29" s="91" t="str">
        <f>IF(iCompare!V19="","",iCompare!V19)</f>
        <v/>
      </c>
      <c r="E29" s="91"/>
      <c r="F29" s="92" t="str">
        <f>iCompare!AE19</f>
        <v/>
      </c>
      <c r="G29" s="93" t="str">
        <f>IF(iCompare!W19="","",iCompare!W19)</f>
        <v/>
      </c>
      <c r="H29" s="91" t="str">
        <f>IF(ISERR(iCompare!X19),"-",IF(iCompare!X19="","",iCompare!X19))</f>
        <v/>
      </c>
      <c r="I29" s="93" t="str">
        <f>IF(iCompare!Y19="","",iCompare!Y19)</f>
        <v/>
      </c>
      <c r="J29" s="91" t="str">
        <f>IF(ISERR(iCompare!X19),"-",IF(iCompare!Z19="","",iCompare!Z19))</f>
        <v/>
      </c>
      <c r="K29" s="90"/>
    </row>
    <row r="30" hidden="1" customHeight="1" spans="3:11">
      <c r="C30" s="90">
        <f>IF(iCompare!T20&gt;0,1,0)</f>
        <v>0</v>
      </c>
      <c r="D30" s="91" t="str">
        <f>IF(iCompare!V20="","",iCompare!V20)</f>
        <v/>
      </c>
      <c r="E30" s="91"/>
      <c r="F30" s="92" t="str">
        <f>iCompare!AE20</f>
        <v/>
      </c>
      <c r="G30" s="93" t="str">
        <f>IF(iCompare!W20="","",iCompare!W20)</f>
        <v/>
      </c>
      <c r="H30" s="91" t="str">
        <f>IF(ISERR(iCompare!X20),"-",IF(iCompare!X20="","",iCompare!X20))</f>
        <v/>
      </c>
      <c r="I30" s="93" t="str">
        <f>IF(iCompare!Y20="","",iCompare!Y20)</f>
        <v/>
      </c>
      <c r="J30" s="91" t="str">
        <f>IF(ISERR(iCompare!X20),"-",IF(iCompare!Z20="","",iCompare!Z20))</f>
        <v/>
      </c>
      <c r="K30" s="90"/>
    </row>
    <row r="31" hidden="1" customHeight="1" spans="3:11">
      <c r="C31" s="90">
        <f>IF(iCompare!T21&gt;0,1,0)</f>
        <v>0</v>
      </c>
      <c r="D31" s="91" t="str">
        <f>IF(iCompare!V21="","",iCompare!V21)</f>
        <v/>
      </c>
      <c r="E31" s="91"/>
      <c r="F31" s="92" t="str">
        <f>iCompare!AE21</f>
        <v/>
      </c>
      <c r="G31" s="93" t="str">
        <f>IF(iCompare!W21="","",iCompare!W21)</f>
        <v/>
      </c>
      <c r="H31" s="91" t="str">
        <f>IF(ISERR(iCompare!X21),"-",IF(iCompare!X21="","",iCompare!X21))</f>
        <v/>
      </c>
      <c r="I31" s="93" t="str">
        <f>IF(iCompare!Y21="","",iCompare!Y21)</f>
        <v/>
      </c>
      <c r="J31" s="91" t="str">
        <f>IF(ISERR(iCompare!X21),"-",IF(iCompare!Z21="","",iCompare!Z21))</f>
        <v/>
      </c>
      <c r="K31" s="90"/>
    </row>
    <row r="32" hidden="1" customHeight="1" spans="3:11">
      <c r="C32" s="90">
        <f>IF(iCompare!T22&gt;0,1,0)</f>
        <v>0</v>
      </c>
      <c r="D32" s="91" t="str">
        <f>IF(iCompare!V22="","",iCompare!V22)</f>
        <v/>
      </c>
      <c r="E32" s="91"/>
      <c r="F32" s="92" t="str">
        <f>iCompare!AE22</f>
        <v/>
      </c>
      <c r="G32" s="93" t="str">
        <f>IF(iCompare!W22="","",iCompare!W22)</f>
        <v/>
      </c>
      <c r="H32" s="91" t="str">
        <f>IF(ISERR(iCompare!X22),"-",IF(iCompare!X22="","",iCompare!X22))</f>
        <v/>
      </c>
      <c r="I32" s="93" t="str">
        <f>IF(iCompare!Y22="","",iCompare!Y22)</f>
        <v/>
      </c>
      <c r="J32" s="91" t="str">
        <f>IF(ISERR(iCompare!X22),"-",IF(iCompare!Z22="","",iCompare!Z22))</f>
        <v/>
      </c>
      <c r="K32" s="90"/>
    </row>
    <row r="33" hidden="1" customHeight="1" spans="3:10">
      <c r="C33" s="90">
        <f>IF(iCompare!T23&gt;0,1,0)</f>
        <v>0</v>
      </c>
      <c r="D33" s="91" t="str">
        <f>IF(iCompare!V23="","",iCompare!V23)</f>
        <v/>
      </c>
      <c r="E33" s="91"/>
      <c r="F33" s="92" t="str">
        <f>iCompare!AE23</f>
        <v/>
      </c>
      <c r="G33" s="93" t="str">
        <f>IF(iCompare!W23="","",iCompare!W23)</f>
        <v/>
      </c>
      <c r="H33" s="91" t="str">
        <f>IF(ISERR(iCompare!X23),"-",IF(iCompare!X23="","",iCompare!X23))</f>
        <v/>
      </c>
      <c r="I33" s="93" t="str">
        <f>IF(iCompare!Y23="","",iCompare!Y23)</f>
        <v/>
      </c>
      <c r="J33" s="91" t="str">
        <f>IF(ISERR(iCompare!X23),"-",IF(iCompare!Z23="","",iCompare!Z23))</f>
        <v/>
      </c>
    </row>
    <row r="34" hidden="1" customHeight="1" spans="3:10">
      <c r="C34" s="90">
        <f>IF(iCompare!T24&gt;0,1,0)</f>
        <v>0</v>
      </c>
      <c r="D34" s="91" t="str">
        <f>IF(iCompare!V24="","",iCompare!V24)</f>
        <v/>
      </c>
      <c r="E34" s="91"/>
      <c r="F34" s="92" t="str">
        <f>iCompare!AE24</f>
        <v/>
      </c>
      <c r="G34" s="93" t="str">
        <f>IF(iCompare!W24="","",iCompare!W24)</f>
        <v/>
      </c>
      <c r="H34" s="91" t="str">
        <f>IF(ISERR(iCompare!X24),"-",IF(iCompare!X24="","",iCompare!X24))</f>
        <v/>
      </c>
      <c r="I34" s="93" t="str">
        <f>IF(iCompare!Y24="","",iCompare!Y24)</f>
        <v/>
      </c>
      <c r="J34" s="91" t="str">
        <f>IF(ISERR(iCompare!X24),"-",IF(iCompare!Z24="","",iCompare!Z24))</f>
        <v/>
      </c>
    </row>
    <row r="35" hidden="1" customHeight="1" spans="3:10">
      <c r="C35" s="90">
        <f>IF(iCompare!T25&gt;0,1,0)</f>
        <v>0</v>
      </c>
      <c r="D35" s="91" t="str">
        <f>IF(iCompare!V25="","",iCompare!V25)</f>
        <v/>
      </c>
      <c r="E35" s="91"/>
      <c r="F35" s="92" t="str">
        <f>iCompare!AE25</f>
        <v/>
      </c>
      <c r="G35" s="93" t="str">
        <f>IF(iCompare!W25="","",iCompare!W25)</f>
        <v/>
      </c>
      <c r="H35" s="91" t="str">
        <f>IF(ISERR(iCompare!X25),"-",IF(iCompare!X25="","",iCompare!X25))</f>
        <v/>
      </c>
      <c r="I35" s="93" t="str">
        <f>IF(iCompare!Y25="","",iCompare!Y25)</f>
        <v/>
      </c>
      <c r="J35" s="91" t="str">
        <f>IF(ISERR(iCompare!X25),"-",IF(iCompare!Z25="","",iCompare!Z25))</f>
        <v/>
      </c>
    </row>
    <row r="36" hidden="1" spans="3:10">
      <c r="C36" s="90">
        <f>IF(iCompare!T26&gt;0,1,0)</f>
        <v>0</v>
      </c>
      <c r="D36" s="91" t="str">
        <f>IF(iCompare!V26="","",iCompare!V26)</f>
        <v/>
      </c>
      <c r="E36" s="91"/>
      <c r="F36" s="92"/>
      <c r="G36" s="93" t="str">
        <f>IF(iCompare!W26="","",iCompare!W26)</f>
        <v/>
      </c>
      <c r="H36" s="91" t="str">
        <f>IF(ISERR(iCompare!X26),"-",IF(iCompare!X26="","",iCompare!X26))</f>
        <v/>
      </c>
      <c r="I36" s="93" t="str">
        <f>IF(iCompare!Y26="","",iCompare!Y26)</f>
        <v/>
      </c>
      <c r="J36" s="91" t="str">
        <f>IF(ISERR(iCompare!X26),"-",IF(iCompare!Z26="","",iCompare!Z26))</f>
        <v/>
      </c>
    </row>
    <row r="37" spans="3:10">
      <c r="C37" s="90"/>
      <c r="D37" s="91"/>
      <c r="E37" s="91"/>
      <c r="F37" s="92"/>
      <c r="G37" s="93"/>
      <c r="H37" s="91"/>
      <c r="I37" s="93"/>
      <c r="J37" s="91"/>
    </row>
    <row r="38" ht="22.5" customHeight="1" spans="3:6">
      <c r="C38" s="90"/>
      <c r="D38" s="94" t="s">
        <v>1707</v>
      </c>
      <c r="E38" s="94"/>
      <c r="F38" s="95" t="s">
        <v>1708</v>
      </c>
    </row>
    <row r="39" ht="15.75" spans="4:13">
      <c r="D39" s="96" t="str">
        <f>iCityComp!AH26</f>
        <v>Abu Dhabi scores more favourably</v>
      </c>
      <c r="E39" s="97"/>
      <c r="F39" s="96" t="str">
        <f>iCityComp!AI26</f>
        <v>Paris scores more favourably</v>
      </c>
      <c r="G39" s="96"/>
      <c r="H39" s="96"/>
      <c r="I39" s="96"/>
      <c r="J39" s="96"/>
      <c r="K39" s="96"/>
      <c r="L39" s="96"/>
      <c r="M39" s="102"/>
    </row>
    <row r="40" spans="4:13">
      <c r="D40" s="80" t="str">
        <f>iCityComp!AH27</f>
        <v>4.2.8) Perceptions of safety</v>
      </c>
      <c r="E40" s="80"/>
      <c r="F40" s="98" t="str">
        <f>iCityComp!AI27</f>
        <v>4.2.1) Prevalence of petty crime</v>
      </c>
      <c r="K40" s="98"/>
      <c r="L40" s="98"/>
      <c r="M40" s="98"/>
    </row>
    <row r="41" spans="4:13">
      <c r="D41" s="80" t="str">
        <f>iCityComp!AH28</f>
        <v>4.2.7) Gender safety</v>
      </c>
      <c r="E41" s="80"/>
      <c r="F41" s="98" t="str">
        <f>iCityComp!AI28</f>
        <v>4.1.7) Political Stability Risk</v>
      </c>
      <c r="K41" s="98"/>
      <c r="L41" s="98"/>
      <c r="M41" s="98"/>
    </row>
    <row r="42" spans="4:13">
      <c r="D42" s="80" t="str">
        <f>iCityComp!AH29</f>
        <v>4.2.6) Frequency of terrorist attacks</v>
      </c>
      <c r="E42" s="80"/>
      <c r="F42" s="98" t="str">
        <f>iCityComp!AI29</f>
        <v>4.1.5) Private security measures</v>
      </c>
      <c r="K42" s="98"/>
      <c r="L42" s="98"/>
      <c r="M42" s="98"/>
    </row>
    <row r="43" spans="4:13">
      <c r="D43" s="80" t="str">
        <f>iCityComp!AH30</f>
        <v>4.2.5) Rate of drug use</v>
      </c>
      <c r="E43" s="80"/>
      <c r="F43" s="98" t="str">
        <f>iCityComp!AI30</f>
        <v>4.1.4) Use of data-driven techniques for crime</v>
      </c>
      <c r="K43" s="98"/>
      <c r="L43" s="98"/>
      <c r="M43" s="98"/>
    </row>
    <row r="44" spans="4:13">
      <c r="D44" s="80" t="str">
        <f>iCityComp!AH31</f>
        <v>4.2.4) Level of corruption in police force</v>
      </c>
      <c r="E44" s="80"/>
      <c r="F44" s="98" t="str">
        <f>iCityComp!AI31</f>
        <v>4.1.3) Availability of street-level crime data</v>
      </c>
      <c r="K44" s="98"/>
      <c r="L44" s="98"/>
      <c r="M44" s="98"/>
    </row>
    <row r="45" spans="4:13">
      <c r="D45" s="80" t="str">
        <f>iCityComp!AH32</f>
        <v>4.2.3) Criminal gang activity</v>
      </c>
      <c r="E45" s="80"/>
      <c r="F45" s="98" t="str">
        <f>iCityComp!AI32</f>
        <v>4.1.2) Community-based patrolling</v>
      </c>
      <c r="K45" s="98"/>
      <c r="L45" s="98"/>
      <c r="M45" s="98"/>
    </row>
    <row r="46" spans="4:13">
      <c r="D46" s="80" t="str">
        <f>iCityComp!AH33</f>
        <v>4.2.2) Prevalence of violence crime</v>
      </c>
      <c r="E46" s="80"/>
      <c r="F46" s="98" t="str">
        <f>iCityComp!AI33</f>
        <v>4.1.1) Level of police engagement</v>
      </c>
      <c r="K46" s="98"/>
      <c r="L46" s="98"/>
      <c r="M46" s="98"/>
    </row>
    <row r="47" spans="4:13">
      <c r="D47" s="80" t="str">
        <f>iCityComp!AH34</f>
        <v>4.2.1) Prevalence of petty crime</v>
      </c>
      <c r="E47" s="80"/>
      <c r="F47" s="98" t="str">
        <f>iCityComp!AI34</f>
        <v>3.2.4) Percent living in urban slums</v>
      </c>
      <c r="K47" s="98"/>
      <c r="L47" s="98"/>
      <c r="M47" s="98"/>
    </row>
    <row r="48" spans="4:13">
      <c r="D48" s="80" t="str">
        <f>iCityComp!AH35</f>
        <v>4.1.6) Gun regulation and enforcement</v>
      </c>
      <c r="E48" s="80"/>
      <c r="F48" s="98" t="str">
        <f>iCityComp!AI35</f>
        <v>3.2.3) Frequency of pedestrian deaths</v>
      </c>
      <c r="K48" s="98"/>
      <c r="L48" s="98"/>
      <c r="M48" s="98"/>
    </row>
    <row r="49" spans="4:13">
      <c r="D49" s="80" t="str">
        <f>iCityComp!AH36</f>
        <v>4.1.5) Private security measures</v>
      </c>
      <c r="E49" s="80"/>
      <c r="F49" s="98" t="str">
        <f>iCityComp!AI36</f>
        <v>3.1.5) Disaster Management/Business Continuity Plan</v>
      </c>
      <c r="K49" s="98"/>
      <c r="L49" s="98"/>
      <c r="M49" s="98"/>
    </row>
    <row r="50" spans="4:13">
      <c r="D50" s="80" t="str">
        <f>iCityComp!AH37</f>
        <v>4.1.3) Availability of street-level crime data</v>
      </c>
      <c r="E50" s="80"/>
      <c r="F50" s="98" t="str">
        <f>iCityComp!AI37</f>
        <v>3.1.4) Quality of electricity infrastructure</v>
      </c>
      <c r="K50" s="98"/>
      <c r="L50" s="98"/>
      <c r="M50" s="98"/>
    </row>
    <row r="51" spans="4:13">
      <c r="D51" s="80" t="str">
        <f>iCityComp!AH38</f>
        <v>4.1.2) Community-based patrolling</v>
      </c>
      <c r="E51" s="80"/>
      <c r="F51" s="98" t="str">
        <f>iCityComp!AI38</f>
        <v>3.1.1) Enforcement of transport safety</v>
      </c>
      <c r="K51" s="98"/>
      <c r="L51" s="98"/>
      <c r="M51" s="98"/>
    </row>
    <row r="52" spans="4:13">
      <c r="D52" s="80" t="str">
        <f>iCityComp!AH39</f>
        <v>3.2.2) Frequency of vehicular accidents</v>
      </c>
      <c r="E52" s="80"/>
      <c r="F52" s="98" t="str">
        <f>iCityComp!AI39</f>
        <v>2.2.5) Cancer mortality rate ( Cancer deaths per 100,000)</v>
      </c>
      <c r="K52" s="98"/>
      <c r="L52" s="98"/>
      <c r="M52" s="98"/>
    </row>
    <row r="53" spans="4:13">
      <c r="D53" s="80" t="str">
        <f>iCityComp!AH40</f>
        <v>3.2.1) Death from natural disasters</v>
      </c>
      <c r="E53" s="80"/>
      <c r="F53" s="98" t="str">
        <f>iCityComp!AI40</f>
        <v>2.2.4) Infant mortality (deaths per 1,000 live births)</v>
      </c>
      <c r="K53" s="98"/>
      <c r="L53" s="98"/>
      <c r="M53" s="98"/>
    </row>
    <row r="54" spans="4:13">
      <c r="D54" s="80" t="str">
        <f>iCityComp!AH41</f>
        <v>3.1.3) Quality of road infrastructure</v>
      </c>
      <c r="E54" s="80"/>
      <c r="F54" s="98" t="str">
        <f>iCityComp!AI41</f>
        <v>2.2.3) Life expectancy</v>
      </c>
      <c r="K54" s="98"/>
      <c r="L54" s="98"/>
      <c r="M54" s="98"/>
    </row>
    <row r="55" spans="4:13">
      <c r="D55" s="80" t="str">
        <f>iCityComp!AH42</f>
        <v>3.1.2) Pedestrian friendliness</v>
      </c>
      <c r="E55" s="80"/>
      <c r="F55" s="98" t="str">
        <f>iCityComp!AI42</f>
        <v>2.2.2) Water quality</v>
      </c>
      <c r="K55" s="98"/>
      <c r="L55" s="98"/>
      <c r="M55" s="98"/>
    </row>
    <row r="56" spans="4:13">
      <c r="D56" s="80" t="str">
        <f>iCityComp!AH43</f>
        <v>2.1.5) Access to safe and quality food</v>
      </c>
      <c r="E56" s="80"/>
      <c r="F56" s="98" t="str">
        <f>iCityComp!AI43</f>
        <v>2.2.1) Air quality</v>
      </c>
      <c r="K56" s="98"/>
      <c r="L56" s="98"/>
      <c r="M56" s="98"/>
    </row>
    <row r="57" spans="4:13">
      <c r="D57" s="80" t="str">
        <f>iCityComp!AH44</f>
        <v>1.2.3) Percent with internet access</v>
      </c>
      <c r="E57" s="80"/>
      <c r="F57" s="98" t="str">
        <f>iCityComp!AI44</f>
        <v>2.1.6) Quality of health services</v>
      </c>
      <c r="K57" s="98"/>
      <c r="L57" s="98"/>
      <c r="M57" s="98"/>
    </row>
    <row r="58" spans="4:13">
      <c r="D58" s="80" t="str">
        <f>iCityComp!AH45</f>
        <v>1.2.2) Precentage of computers infected</v>
      </c>
      <c r="E58" s="80"/>
      <c r="F58" s="98" t="str">
        <f>iCityComp!AI45</f>
        <v>2.1.5) Access to safe and quality food</v>
      </c>
      <c r="K58" s="98"/>
      <c r="L58" s="98"/>
      <c r="M58" s="98"/>
    </row>
    <row r="59" spans="4:13">
      <c r="D59" s="80" t="str">
        <f>iCityComp!AH46</f>
        <v>1.2.1) Frequency of identity theft</v>
      </c>
      <c r="E59" s="80"/>
      <c r="F59" s="98" t="str">
        <f>iCityComp!AI46</f>
        <v>2.1.4) Number of doctors per 1000</v>
      </c>
      <c r="K59" s="98"/>
      <c r="L59" s="98"/>
      <c r="M59" s="98"/>
    </row>
    <row r="60" spans="4:13">
      <c r="D60" s="80" t="str">
        <f>iCityComp!AH47</f>
        <v>1.1.6) Dedicated cyber security teams</v>
      </c>
      <c r="E60" s="80"/>
      <c r="F60" s="98" t="str">
        <f>iCityComp!AI47</f>
        <v>2.1.3) No. of beds per 1000</v>
      </c>
      <c r="K60" s="98"/>
      <c r="L60" s="98"/>
      <c r="M60" s="98"/>
    </row>
    <row r="61" spans="4:13">
      <c r="D61" s="80" t="str">
        <f>iCityComp!AH48</f>
        <v>1.1.5) Level of technology employed</v>
      </c>
      <c r="E61" s="80"/>
      <c r="F61" s="98" t="str">
        <f>iCityComp!AI48</f>
        <v>2.1.2) Access to healthcare</v>
      </c>
      <c r="K61" s="98"/>
      <c r="L61" s="98"/>
      <c r="M61" s="98"/>
    </row>
    <row r="62" spans="4:13">
      <c r="D62" s="80" t="str">
        <f>iCityComp!AH49</f>
        <v>1.1.4) Public-private partnerships</v>
      </c>
      <c r="E62" s="80"/>
      <c r="F62" s="98" t="str">
        <f>iCityComp!AI49</f>
        <v>2.1.1) Environmental policies</v>
      </c>
      <c r="K62" s="98"/>
      <c r="L62" s="98"/>
      <c r="M62" s="98"/>
    </row>
    <row r="63" spans="4:6">
      <c r="D63" s="80" t="str">
        <f>iCityComp!AH50</f>
        <v>1.1.2) Citizen awareness of digital threats</v>
      </c>
      <c r="E63" s="80"/>
      <c r="F63" s="98" t="str">
        <f>iCityComp!AI50</f>
        <v>1.1.5) Level of technology employed</v>
      </c>
    </row>
    <row r="64" spans="4:6">
      <c r="D64" s="80" t="str">
        <f>iCityComp!AH51</f>
        <v/>
      </c>
      <c r="E64" s="80"/>
      <c r="F64" s="98" t="str">
        <f>iCityComp!AI51</f>
        <v>1.1.4) Public-private partnerships</v>
      </c>
    </row>
    <row r="65" spans="4:6">
      <c r="D65" s="80" t="str">
        <f>iCityComp!AH52</f>
        <v/>
      </c>
      <c r="E65" s="80"/>
      <c r="F65" s="98" t="str">
        <f>iCityComp!AI52</f>
        <v>1.1.1) Privacy policy</v>
      </c>
    </row>
    <row r="66" spans="4:6">
      <c r="D66" s="80" t="str">
        <f>iCityComp!AH53</f>
        <v/>
      </c>
      <c r="E66" s="80"/>
      <c r="F66" s="98" t="str">
        <f>iCityComp!AI53</f>
        <v/>
      </c>
    </row>
    <row r="67" spans="4:6">
      <c r="D67" s="80" t="str">
        <f>iCityComp!AH54</f>
        <v/>
      </c>
      <c r="E67" s="80"/>
      <c r="F67" s="98" t="str">
        <f>iCityComp!AI54</f>
        <v/>
      </c>
    </row>
    <row r="68" spans="4:6">
      <c r="D68" s="80" t="str">
        <f>iCityComp!AH55</f>
        <v/>
      </c>
      <c r="E68" s="80"/>
      <c r="F68" s="98" t="str">
        <f>iCityComp!AI55</f>
        <v/>
      </c>
    </row>
    <row r="69" spans="4:6">
      <c r="D69" s="80" t="str">
        <f>iCityComp!AH56</f>
        <v/>
      </c>
      <c r="E69" s="80"/>
      <c r="F69" s="98" t="str">
        <f>iCityComp!AI56</f>
        <v/>
      </c>
    </row>
    <row r="70" spans="4:6">
      <c r="D70" s="80" t="str">
        <f>iCityComp!AH57</f>
        <v/>
      </c>
      <c r="E70" s="80"/>
      <c r="F70" s="98" t="str">
        <f>iCityComp!AI57</f>
        <v/>
      </c>
    </row>
    <row r="71" spans="4:6">
      <c r="D71" s="80" t="str">
        <f>iCityComp!AH58</f>
        <v/>
      </c>
      <c r="E71" s="80"/>
      <c r="F71" s="98" t="str">
        <f>iCityComp!AI58</f>
        <v/>
      </c>
    </row>
    <row r="72" spans="4:6">
      <c r="D72" s="80" t="e">
        <f>iCityComp!#REF!</f>
        <v>#REF!</v>
      </c>
      <c r="E72" s="80"/>
      <c r="F72" s="98" t="e">
        <f>iCityComp!#REF!</f>
        <v>#REF!</v>
      </c>
    </row>
    <row r="73" spans="4:6">
      <c r="D73" s="80" t="str">
        <f>iCityComp!AH59</f>
        <v/>
      </c>
      <c r="E73" s="80"/>
      <c r="F73" s="98" t="str">
        <f>iCityComp!AI59</f>
        <v/>
      </c>
    </row>
    <row r="74" spans="4:6">
      <c r="D74" s="80" t="str">
        <f>iCityComp!AH60</f>
        <v/>
      </c>
      <c r="E74" s="80"/>
      <c r="F74" s="98" t="str">
        <f>iCityComp!AI60</f>
        <v/>
      </c>
    </row>
    <row r="75" spans="4:6">
      <c r="D75" s="80" t="str">
        <f>iCityComp!AH61</f>
        <v/>
      </c>
      <c r="E75" s="80"/>
      <c r="F75" s="98" t="str">
        <f>iCityComp!AI61</f>
        <v/>
      </c>
    </row>
    <row r="76" spans="4:6">
      <c r="D76" s="80" t="str">
        <f>iCityComp!AH62</f>
        <v/>
      </c>
      <c r="E76" s="80"/>
      <c r="F76" s="98" t="str">
        <f>iCityComp!AI62</f>
        <v/>
      </c>
    </row>
    <row r="77" spans="4:6">
      <c r="D77" s="80" t="str">
        <f>iCityComp!AH63</f>
        <v/>
      </c>
      <c r="E77" s="80"/>
      <c r="F77" s="98" t="str">
        <f>iCityComp!AI63</f>
        <v/>
      </c>
    </row>
    <row r="78" spans="4:6">
      <c r="D78" s="80" t="str">
        <f>iCityComp!AH64</f>
        <v/>
      </c>
      <c r="E78" s="80"/>
      <c r="F78" s="98" t="str">
        <f>iCityComp!AI64</f>
        <v/>
      </c>
    </row>
    <row r="79" spans="4:6">
      <c r="D79" s="80" t="e">
        <f>iCityComp!#REF!</f>
        <v>#REF!</v>
      </c>
      <c r="E79" s="80"/>
      <c r="F79" s="98" t="e">
        <f>iCityComp!#REF!</f>
        <v>#REF!</v>
      </c>
    </row>
    <row r="80" spans="4:6">
      <c r="D80" s="80" t="str">
        <f>iCityComp!AH65</f>
        <v/>
      </c>
      <c r="E80" s="80"/>
      <c r="F80" s="98" t="str">
        <f>iCityComp!AI65</f>
        <v/>
      </c>
    </row>
    <row r="81" spans="4:6">
      <c r="D81" s="80" t="str">
        <f>iCityComp!AH66</f>
        <v/>
      </c>
      <c r="E81" s="80"/>
      <c r="F81" s="98" t="str">
        <f>iCityComp!AI66</f>
        <v/>
      </c>
    </row>
    <row r="82" spans="4:6">
      <c r="D82" s="80" t="str">
        <f>iCityComp!AH67</f>
        <v/>
      </c>
      <c r="E82" s="80"/>
      <c r="F82" s="98" t="str">
        <f>iCityComp!AI67</f>
        <v/>
      </c>
    </row>
    <row r="83" spans="4:6">
      <c r="D83" s="80" t="str">
        <f>iCityComp!AH68</f>
        <v/>
      </c>
      <c r="E83" s="80"/>
      <c r="F83" s="98" t="str">
        <f>iCityComp!AI68</f>
        <v/>
      </c>
    </row>
    <row r="84" spans="4:6">
      <c r="D84" s="80" t="str">
        <f>iCityComp!AH69</f>
        <v/>
      </c>
      <c r="E84" s="80"/>
      <c r="F84" s="98" t="str">
        <f>iCityComp!AI69</f>
        <v/>
      </c>
    </row>
    <row r="85" spans="4:6">
      <c r="D85" s="80" t="str">
        <f>iCityComp!AH70</f>
        <v/>
      </c>
      <c r="E85" s="80"/>
      <c r="F85" s="98" t="str">
        <f>iCityComp!AI70</f>
        <v/>
      </c>
    </row>
    <row r="86" spans="4:6">
      <c r="D86" s="80" t="str">
        <f>iCityComp!AH71</f>
        <v/>
      </c>
      <c r="E86" s="80"/>
      <c r="F86" s="98" t="str">
        <f>iCityComp!AI71</f>
        <v/>
      </c>
    </row>
    <row r="87" spans="4:6">
      <c r="D87" s="80" t="str">
        <f>iCityComp!AH72</f>
        <v/>
      </c>
      <c r="E87" s="80"/>
      <c r="F87" s="98" t="str">
        <f>iCityComp!AI72</f>
        <v/>
      </c>
    </row>
    <row r="88" spans="4:10">
      <c r="D88" s="80" t="str">
        <f>iCityComp!AH73</f>
        <v/>
      </c>
      <c r="E88" s="80"/>
      <c r="F88" s="98" t="str">
        <f>iCityComp!AI73</f>
        <v/>
      </c>
      <c r="I88" s="80"/>
      <c r="J88" s="80"/>
    </row>
    <row r="89" spans="4:10">
      <c r="D89" s="80" t="str">
        <f>iCityComp!AH74</f>
        <v/>
      </c>
      <c r="E89" s="80"/>
      <c r="F89" s="98" t="str">
        <f>iCityComp!AI74</f>
        <v/>
      </c>
      <c r="I89" s="80"/>
      <c r="J89" s="80"/>
    </row>
    <row r="90" spans="4:10">
      <c r="D90" s="80" t="str">
        <f>iCityComp!AH75</f>
        <v/>
      </c>
      <c r="E90" s="80"/>
      <c r="F90" s="98" t="str">
        <f>iCityComp!AI75</f>
        <v/>
      </c>
      <c r="I90" s="80"/>
      <c r="J90" s="80"/>
    </row>
    <row r="91" spans="4:10">
      <c r="D91" s="80" t="str">
        <f>iCityComp!AH76</f>
        <v/>
      </c>
      <c r="E91" s="80"/>
      <c r="F91" s="98" t="str">
        <f>iCityComp!AI76</f>
        <v/>
      </c>
      <c r="I91" s="80"/>
      <c r="J91" s="80"/>
    </row>
    <row r="92" spans="4:10">
      <c r="D92" s="80" t="str">
        <f>iCityComp!AH77</f>
        <v/>
      </c>
      <c r="E92" s="80"/>
      <c r="F92" s="98" t="str">
        <f>iCityComp!AI77</f>
        <v/>
      </c>
      <c r="I92" s="80"/>
      <c r="J92" s="80"/>
    </row>
    <row r="93" spans="4:10">
      <c r="D93" s="80" t="str">
        <f>iCityComp!AH78</f>
        <v/>
      </c>
      <c r="E93" s="80"/>
      <c r="F93" s="98" t="str">
        <f>iCityComp!AI78</f>
        <v/>
      </c>
      <c r="I93" s="80"/>
      <c r="J93" s="80"/>
    </row>
    <row r="94" spans="4:10">
      <c r="D94" s="80" t="str">
        <f>iCityComp!AH79</f>
        <v/>
      </c>
      <c r="E94" s="80"/>
      <c r="F94" s="98" t="str">
        <f>iCityComp!AI79</f>
        <v/>
      </c>
      <c r="I94" s="80"/>
      <c r="J94" s="80"/>
    </row>
    <row r="95" spans="4:10">
      <c r="D95" s="80" t="str">
        <f>iCityComp!AH80</f>
        <v/>
      </c>
      <c r="E95" s="80"/>
      <c r="F95" s="98" t="str">
        <f>iCityComp!AI80</f>
        <v/>
      </c>
      <c r="I95" s="80"/>
      <c r="J95" s="80"/>
    </row>
    <row r="96" spans="4:10">
      <c r="D96" s="80" t="str">
        <f>iCityComp!AH81</f>
        <v/>
      </c>
      <c r="E96" s="80"/>
      <c r="F96" s="98" t="str">
        <f>iCityComp!AI81</f>
        <v/>
      </c>
      <c r="I96" s="80"/>
      <c r="J96" s="80"/>
    </row>
    <row r="97" spans="4:10">
      <c r="D97" s="80" t="str">
        <f>iCityComp!AH82</f>
        <v/>
      </c>
      <c r="E97" s="80"/>
      <c r="F97" s="98" t="str">
        <f>iCityComp!AI82</f>
        <v/>
      </c>
      <c r="I97" s="80"/>
      <c r="J97" s="80"/>
    </row>
    <row r="98" spans="4:10">
      <c r="D98" s="80" t="str">
        <f>iCityComp!AH83</f>
        <v/>
      </c>
      <c r="E98" s="80"/>
      <c r="F98" s="98" t="str">
        <f>iCityComp!AI83</f>
        <v/>
      </c>
      <c r="I98" s="80"/>
      <c r="J98" s="80"/>
    </row>
    <row r="99" spans="4:10">
      <c r="D99" s="80"/>
      <c r="E99" s="80"/>
      <c r="I99" s="80"/>
      <c r="J99" s="80"/>
    </row>
    <row r="100" spans="4:10">
      <c r="D100" s="80"/>
      <c r="E100" s="80"/>
      <c r="I100" s="80"/>
      <c r="J100" s="80"/>
    </row>
    <row r="101" spans="4:10">
      <c r="D101" s="80"/>
      <c r="E101" s="80"/>
      <c r="I101" s="80"/>
      <c r="J101" s="80"/>
    </row>
    <row r="102" spans="4:10">
      <c r="D102" s="80"/>
      <c r="E102" s="80"/>
      <c r="I102" s="80"/>
      <c r="J102" s="80"/>
    </row>
    <row r="103" spans="4:10">
      <c r="D103" s="80"/>
      <c r="E103" s="80"/>
      <c r="I103" s="80"/>
      <c r="J103" s="80"/>
    </row>
    <row r="104" spans="4:10">
      <c r="D104" s="80"/>
      <c r="E104" s="80"/>
      <c r="I104" s="80"/>
      <c r="J104" s="80"/>
    </row>
    <row r="105" spans="4:10">
      <c r="D105" s="80"/>
      <c r="E105" s="80"/>
      <c r="I105" s="80"/>
      <c r="J105" s="80"/>
    </row>
    <row r="106" spans="4:10">
      <c r="D106" s="80"/>
      <c r="E106" s="80"/>
      <c r="I106" s="80"/>
      <c r="J106" s="80"/>
    </row>
    <row r="107" spans="4:10">
      <c r="D107" s="80"/>
      <c r="E107" s="80"/>
      <c r="I107" s="80"/>
      <c r="J107" s="80"/>
    </row>
    <row r="108" spans="4:10">
      <c r="D108" s="80"/>
      <c r="E108" s="80"/>
      <c r="I108" s="80"/>
      <c r="J108" s="80"/>
    </row>
    <row r="109" spans="4:10">
      <c r="D109" s="80"/>
      <c r="E109" s="80"/>
      <c r="I109" s="80"/>
      <c r="J109" s="80"/>
    </row>
    <row r="110" spans="4:10">
      <c r="D110" s="80"/>
      <c r="E110" s="80"/>
      <c r="I110" s="80"/>
      <c r="J110" s="80"/>
    </row>
    <row r="111" spans="4:10">
      <c r="D111" s="80"/>
      <c r="E111" s="80"/>
      <c r="I111" s="80"/>
      <c r="J111" s="80"/>
    </row>
    <row r="112" spans="4:10">
      <c r="D112" s="80"/>
      <c r="E112" s="80"/>
      <c r="I112" s="80"/>
      <c r="J112" s="80"/>
    </row>
    <row r="113" spans="4:10">
      <c r="D113" s="80"/>
      <c r="E113" s="80"/>
      <c r="I113" s="80"/>
      <c r="J113" s="80"/>
    </row>
    <row r="114" spans="4:10">
      <c r="D114" s="80"/>
      <c r="E114" s="80"/>
      <c r="I114" s="80"/>
      <c r="J114" s="80"/>
    </row>
    <row r="115" spans="4:10">
      <c r="D115" s="80"/>
      <c r="E115" s="80"/>
      <c r="I115" s="80"/>
      <c r="J115" s="80"/>
    </row>
    <row r="116" spans="4:10">
      <c r="D116" s="80"/>
      <c r="E116" s="80"/>
      <c r="I116" s="80"/>
      <c r="J116" s="80"/>
    </row>
    <row r="117" spans="4:10">
      <c r="D117" s="80"/>
      <c r="E117" s="80"/>
      <c r="I117" s="80"/>
      <c r="J117" s="80"/>
    </row>
    <row r="118" spans="4:10">
      <c r="D118" s="80"/>
      <c r="E118" s="80"/>
      <c r="I118" s="80"/>
      <c r="J118" s="80"/>
    </row>
    <row r="119" spans="4:10">
      <c r="D119" s="80"/>
      <c r="E119" s="80"/>
      <c r="I119" s="80"/>
      <c r="J119" s="80"/>
    </row>
    <row r="120" spans="4:10">
      <c r="D120" s="80"/>
      <c r="E120" s="80"/>
      <c r="I120" s="80"/>
      <c r="J120" s="80"/>
    </row>
    <row r="121" spans="4:10">
      <c r="D121" s="80"/>
      <c r="E121" s="80"/>
      <c r="I121" s="80"/>
      <c r="J121" s="80"/>
    </row>
    <row r="122" spans="4:10">
      <c r="D122" s="80"/>
      <c r="E122" s="80"/>
      <c r="I122" s="80"/>
      <c r="J122" s="80"/>
    </row>
    <row r="123" spans="4:10">
      <c r="D123" s="80"/>
      <c r="E123" s="80"/>
      <c r="I123" s="80"/>
      <c r="J123" s="80"/>
    </row>
    <row r="124" spans="4:10">
      <c r="D124" s="80"/>
      <c r="E124" s="80"/>
      <c r="I124" s="80"/>
      <c r="J124" s="80"/>
    </row>
    <row r="125" spans="4:10">
      <c r="D125" s="80"/>
      <c r="E125" s="80"/>
      <c r="I125" s="80"/>
      <c r="J125" s="80"/>
    </row>
    <row r="126" spans="4:10">
      <c r="D126" s="80"/>
      <c r="E126" s="80"/>
      <c r="I126" s="80"/>
      <c r="J126" s="80"/>
    </row>
    <row r="127" spans="4:10">
      <c r="D127" s="80"/>
      <c r="E127" s="80"/>
      <c r="I127" s="80"/>
      <c r="J127" s="80"/>
    </row>
    <row r="128" spans="4:10">
      <c r="D128" s="80"/>
      <c r="E128" s="80"/>
      <c r="I128" s="80"/>
      <c r="J128" s="80"/>
    </row>
    <row r="129" spans="4:10">
      <c r="D129" s="80"/>
      <c r="E129" s="80"/>
      <c r="I129" s="80"/>
      <c r="J129" s="80"/>
    </row>
    <row r="130" spans="4:10">
      <c r="D130" s="80"/>
      <c r="E130" s="80"/>
      <c r="I130" s="80"/>
      <c r="J130" s="80"/>
    </row>
    <row r="131" spans="4:10">
      <c r="D131" s="80"/>
      <c r="E131" s="80"/>
      <c r="I131" s="80"/>
      <c r="J131" s="80"/>
    </row>
    <row r="132" spans="4:10">
      <c r="D132" s="80"/>
      <c r="E132" s="80"/>
      <c r="I132" s="80"/>
      <c r="J132" s="80"/>
    </row>
    <row r="133" spans="4:10">
      <c r="D133" s="80"/>
      <c r="E133" s="80"/>
      <c r="I133" s="80"/>
      <c r="J133" s="80"/>
    </row>
    <row r="134" spans="4:10">
      <c r="D134" s="80"/>
      <c r="E134" s="80"/>
      <c r="I134" s="80"/>
      <c r="J134" s="80"/>
    </row>
    <row r="135" spans="4:10">
      <c r="D135" s="80"/>
      <c r="E135" s="80"/>
      <c r="I135" s="80"/>
      <c r="J135" s="80"/>
    </row>
    <row r="136" spans="4:10">
      <c r="D136" s="80"/>
      <c r="E136" s="80"/>
      <c r="I136" s="80"/>
      <c r="J136" s="80"/>
    </row>
    <row r="137" spans="4:10">
      <c r="D137" s="80"/>
      <c r="E137" s="80"/>
      <c r="I137" s="80"/>
      <c r="J137" s="80"/>
    </row>
    <row r="138" spans="4:10">
      <c r="D138" s="80"/>
      <c r="E138" s="80"/>
      <c r="I138" s="80"/>
      <c r="J138" s="80"/>
    </row>
    <row r="139" spans="4:10">
      <c r="D139" s="80"/>
      <c r="E139" s="80"/>
      <c r="I139" s="80"/>
      <c r="J139" s="80"/>
    </row>
    <row r="140" spans="4:10">
      <c r="D140" s="80"/>
      <c r="E140" s="80"/>
      <c r="I140" s="80"/>
      <c r="J140" s="80"/>
    </row>
    <row r="141" spans="4:10">
      <c r="D141" s="80"/>
      <c r="E141" s="80"/>
      <c r="I141" s="80"/>
      <c r="J141" s="80"/>
    </row>
    <row r="142" spans="4:10">
      <c r="D142" s="80"/>
      <c r="E142" s="80"/>
      <c r="I142" s="80"/>
      <c r="J142" s="80"/>
    </row>
    <row r="143" spans="4:10">
      <c r="D143" s="80"/>
      <c r="E143" s="80"/>
      <c r="J143" s="80"/>
    </row>
    <row r="144" spans="4:10">
      <c r="D144" s="80"/>
      <c r="E144" s="80"/>
      <c r="J144" s="80"/>
    </row>
    <row r="145" spans="4:10">
      <c r="D145" s="80"/>
      <c r="E145" s="80"/>
      <c r="J145" s="80"/>
    </row>
    <row r="146" spans="4:10">
      <c r="D146" s="80"/>
      <c r="E146" s="80"/>
      <c r="J146" s="80"/>
    </row>
    <row r="147" spans="4:10">
      <c r="D147" s="80"/>
      <c r="E147" s="80"/>
      <c r="J147" s="80"/>
    </row>
    <row r="148" spans="10:10">
      <c r="J148" s="80"/>
    </row>
    <row r="149" spans="10:10">
      <c r="J149" s="80"/>
    </row>
    <row r="150" spans="10:10">
      <c r="J150" s="80"/>
    </row>
    <row r="151" spans="10:10">
      <c r="J151" s="80"/>
    </row>
    <row r="152" spans="10:10">
      <c r="J152" s="80"/>
    </row>
    <row r="153" spans="10:10">
      <c r="J153" s="80"/>
    </row>
    <row r="154" spans="10:10">
      <c r="J154" s="80"/>
    </row>
    <row r="155" spans="10:10">
      <c r="J155" s="80"/>
    </row>
  </sheetData>
  <sheetProtection sheet="1" selectLockedCells="1" selectUnlockedCells="1" objects="1" scenarios="1"/>
  <conditionalFormatting sqref="D18:J37">
    <cfRule type="expression" dxfId="4" priority="2" stopIfTrue="1">
      <formula>$C18=0</formula>
    </cfRule>
  </conditionalFormatting>
  <conditionalFormatting sqref="H18:H37 J18:J37">
    <cfRule type="expression" dxfId="5" priority="3" stopIfTrue="1">
      <formula>H18="*"</formula>
    </cfRule>
    <cfRule type="expression" dxfId="6" priority="1" stopIfTrue="1">
      <formula>H18="x"</formula>
    </cfRule>
  </conditionalFormatting>
  <pageMargins left="0.708661417322835" right="0.708661417322835" top="0.748031496062992" bottom="0.748031496062992" header="0.31496062992126" footer="0.31496062992126"/>
  <pageSetup paperSize="1" scale="36" orientation="portrait" verticalDpi="1200"/>
  <headerFooter>
    <oddHeader>&amp;REIU SAFE CITY INDEX 2014</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599041" name="Drop Down 1" r:id="rId3">
              <controlPr defaultSize="0">
                <anchor moveWithCells="1">
                  <from>
                    <xdr:col>0</xdr:col>
                    <xdr:colOff>114300</xdr:colOff>
                    <xdr:row>2</xdr:row>
                    <xdr:rowOff>142875</xdr:rowOff>
                  </from>
                  <to>
                    <xdr:col>3</xdr:col>
                    <xdr:colOff>1057275</xdr:colOff>
                    <xdr:row>2</xdr:row>
                    <xdr:rowOff>361950</xdr:rowOff>
                  </to>
                </anchor>
              </controlPr>
            </control>
          </mc:Choice>
        </mc:AlternateContent>
        <mc:AlternateContent xmlns:mc="http://schemas.openxmlformats.org/markup-compatibility/2006">
          <mc:Choice Requires="x14">
            <control shapeId="599042" name="Drop Down 2" r:id="rId4">
              <controlPr defaultSize="0">
                <anchor moveWithCells="1">
                  <from>
                    <xdr:col>3</xdr:col>
                    <xdr:colOff>1162050</xdr:colOff>
                    <xdr:row>2</xdr:row>
                    <xdr:rowOff>142875</xdr:rowOff>
                  </from>
                  <to>
                    <xdr:col>3</xdr:col>
                    <xdr:colOff>2419350</xdr:colOff>
                    <xdr:row>2</xdr:row>
                    <xdr:rowOff>361950</xdr:rowOff>
                  </to>
                </anchor>
              </controlPr>
            </control>
          </mc:Choice>
        </mc:AlternateContent>
        <mc:AlternateContent xmlns:mc="http://schemas.openxmlformats.org/markup-compatibility/2006">
          <mc:Choice Requires="x14">
            <control shapeId="599045" name="Drop Down 5" r:id="rId5">
              <controlPr defaultSize="0">
                <anchor moveWithCells="1">
                  <from>
                    <xdr:col>3</xdr:col>
                    <xdr:colOff>76200</xdr:colOff>
                    <xdr:row>15</xdr:row>
                    <xdr:rowOff>57150</xdr:rowOff>
                  </from>
                  <to>
                    <xdr:col>3</xdr:col>
                    <xdr:colOff>3867150</xdr:colOff>
                    <xdr:row>16</xdr:row>
                    <xdr:rowOff>152400</xdr:rowOff>
                  </to>
                </anchor>
              </controlPr>
            </control>
          </mc:Choice>
        </mc:AlternateContent>
        <mc:AlternateContent xmlns:mc="http://schemas.openxmlformats.org/markup-compatibility/2006">
          <mc:Choice Requires="x14">
            <control shapeId="599047" name="Drop Down 7" r:id="rId6">
              <controlPr defaultSize="0">
                <anchor moveWithCells="1">
                  <from>
                    <xdr:col>5</xdr:col>
                    <xdr:colOff>714375</xdr:colOff>
                    <xdr:row>37</xdr:row>
                    <xdr:rowOff>28575</xdr:rowOff>
                  </from>
                  <to>
                    <xdr:col>7</xdr:col>
                    <xdr:colOff>285750</xdr:colOff>
                    <xdr:row>37</xdr:row>
                    <xdr:rowOff>247650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pageSetUpPr fitToPage="1"/>
  </sheetPr>
  <dimension ref="A1:S61"/>
  <sheetViews>
    <sheetView showGridLines="0" showRowColHeaders="0" workbookViewId="0">
      <selection activeCell="A1" sqref="A1"/>
    </sheetView>
  </sheetViews>
  <sheetFormatPr defaultColWidth="9" defaultRowHeight="15"/>
  <cols>
    <col min="1" max="1" width="5.71428571428571" customWidth="1"/>
    <col min="2" max="2" width="12.5714285714286" customWidth="1"/>
    <col min="14" max="14" width="5.85714285714286" customWidth="1"/>
    <col min="15" max="15" width="2" hidden="1" customWidth="1"/>
    <col min="16" max="16" width="15.4285714285714" customWidth="1"/>
    <col min="17" max="17" width="11.5714285714286" customWidth="1"/>
    <col min="18" max="18" width="12.8571428571429" customWidth="1"/>
    <col min="19" max="19" width="3.85714285714286" customWidth="1"/>
  </cols>
  <sheetData>
    <row r="1" ht="27" customHeight="1" spans="1:3">
      <c r="A1" s="2" t="str">
        <f>Summary!A1</f>
        <v>                             Safe City Index</v>
      </c>
      <c r="C1" s="66" t="s">
        <v>1709</v>
      </c>
    </row>
    <row r="2" ht="21" customHeight="1"/>
    <row r="3" ht="37.5" customHeight="1"/>
    <row r="4" spans="12:19">
      <c r="L4" s="69"/>
      <c r="M4" s="69"/>
      <c r="N4" s="69"/>
      <c r="O4" s="69"/>
      <c r="P4" s="69"/>
      <c r="Q4" s="69"/>
      <c r="R4" s="69"/>
      <c r="S4" s="69"/>
    </row>
    <row r="5" ht="18.75" spans="2:19">
      <c r="B5" s="67" t="str">
        <f>iScatter!B12</f>
        <v>Infrastructure Safety (Outputs) VS Quality of electricity infrastructure </v>
      </c>
      <c r="L5" s="69"/>
      <c r="M5" s="69"/>
      <c r="N5" s="69"/>
      <c r="O5" s="69"/>
      <c r="P5" s="69"/>
      <c r="Q5" s="69"/>
      <c r="R5" s="69"/>
      <c r="S5" s="69"/>
    </row>
    <row r="6" spans="2:19">
      <c r="B6" t="s">
        <v>1710</v>
      </c>
      <c r="C6" s="68">
        <f>iScatter!B16</f>
        <v>-0.261221875353395</v>
      </c>
      <c r="L6" s="69"/>
      <c r="M6" s="69"/>
      <c r="N6" s="69"/>
      <c r="O6" s="69"/>
      <c r="P6" s="69"/>
      <c r="Q6" s="69"/>
      <c r="R6" s="69"/>
      <c r="S6" s="69"/>
    </row>
    <row r="8" spans="16:18">
      <c r="P8" s="70"/>
      <c r="Q8" s="74" t="s">
        <v>1670</v>
      </c>
      <c r="R8" s="74" t="s">
        <v>1671</v>
      </c>
    </row>
    <row r="9" spans="15:18">
      <c r="O9">
        <f>iScatter!C21</f>
        <v>2</v>
      </c>
      <c r="P9" s="71" t="str">
        <f>iScatter!B21</f>
        <v>Stockholm</v>
      </c>
      <c r="Q9" s="75">
        <f>iScatter!G21</f>
        <v>91.32</v>
      </c>
      <c r="R9" s="76">
        <f>iScatter!H21</f>
        <v>2</v>
      </c>
    </row>
    <row r="10" spans="15:18">
      <c r="O10">
        <f>iScatter!C22</f>
        <v>2</v>
      </c>
      <c r="P10" s="72" t="str">
        <f>iScatter!B22</f>
        <v>Johannesburg</v>
      </c>
      <c r="Q10" s="77">
        <f>iScatter!G22</f>
        <v>65.34</v>
      </c>
      <c r="R10" s="78">
        <f>iScatter!H22</f>
        <v>3</v>
      </c>
    </row>
    <row r="11" spans="15:18">
      <c r="O11">
        <f>iScatter!C23</f>
        <v>2</v>
      </c>
      <c r="P11" s="72" t="str">
        <f>iScatter!B23</f>
        <v>Buenos Aires</v>
      </c>
      <c r="Q11" s="77">
        <f>iScatter!G23</f>
        <v>67.06</v>
      </c>
      <c r="R11" s="78">
        <f>iScatter!H23</f>
        <v>1</v>
      </c>
    </row>
    <row r="12" spans="15:18">
      <c r="O12">
        <f>iScatter!C24</f>
        <v>2</v>
      </c>
      <c r="P12" s="72" t="str">
        <f>iScatter!B24</f>
        <v>Sao Paulo</v>
      </c>
      <c r="Q12" s="77">
        <f>iScatter!G24</f>
        <v>75.32</v>
      </c>
      <c r="R12" s="78">
        <f>iScatter!H24</f>
        <v>2</v>
      </c>
    </row>
    <row r="13" spans="15:18">
      <c r="O13">
        <f>iScatter!C25</f>
        <v>2</v>
      </c>
      <c r="P13" s="72" t="str">
        <f>iScatter!B25</f>
        <v>Rio de Janeiro</v>
      </c>
      <c r="Q13" s="77">
        <f>iScatter!G25</f>
        <v>76.3</v>
      </c>
      <c r="R13" s="78">
        <f>iScatter!H25</f>
        <v>1</v>
      </c>
    </row>
    <row r="14" spans="15:18">
      <c r="O14">
        <f>iScatter!C26</f>
        <v>2</v>
      </c>
      <c r="P14" s="72" t="str">
        <f>iScatter!B26</f>
        <v>Los Angeles</v>
      </c>
      <c r="Q14" s="77">
        <f>iScatter!G26</f>
        <v>82.44</v>
      </c>
      <c r="R14" s="78">
        <f>iScatter!H26</f>
        <v>1</v>
      </c>
    </row>
    <row r="15" spans="15:18">
      <c r="O15">
        <f>iScatter!C27</f>
        <v>2</v>
      </c>
      <c r="P15" s="72" t="str">
        <f>iScatter!B27</f>
        <v>San Francisco</v>
      </c>
      <c r="Q15" s="77">
        <f>iScatter!G27</f>
        <v>82.32</v>
      </c>
      <c r="R15" s="78">
        <f>iScatter!H27</f>
        <v>1</v>
      </c>
    </row>
    <row r="16" spans="15:18">
      <c r="O16">
        <f>iScatter!C28</f>
        <v>2</v>
      </c>
      <c r="P16" s="72" t="str">
        <f>iScatter!B28</f>
        <v>Toronto</v>
      </c>
      <c r="Q16" s="77">
        <f>iScatter!G28</f>
        <v>85.13</v>
      </c>
      <c r="R16" s="78">
        <f>iScatter!H28</f>
        <v>1</v>
      </c>
    </row>
    <row r="17" spans="15:18">
      <c r="O17">
        <f>iScatter!C29</f>
        <v>2</v>
      </c>
      <c r="P17" s="72" t="str">
        <f>iScatter!B29</f>
        <v>Montreal</v>
      </c>
      <c r="Q17" s="77">
        <f>iScatter!G29</f>
        <v>88.94</v>
      </c>
      <c r="R17" s="78">
        <f>iScatter!H29</f>
        <v>1</v>
      </c>
    </row>
    <row r="18" spans="15:18">
      <c r="O18">
        <f>iScatter!C30</f>
        <v>2</v>
      </c>
      <c r="P18" s="72" t="str">
        <f>iScatter!B30</f>
        <v>Chicago</v>
      </c>
      <c r="Q18" s="77">
        <f>iScatter!G30</f>
        <v>81.38</v>
      </c>
      <c r="R18" s="78">
        <f>iScatter!H30</f>
        <v>1</v>
      </c>
    </row>
    <row r="19" spans="15:18">
      <c r="O19">
        <f>iScatter!C31</f>
        <v>2</v>
      </c>
      <c r="P19" s="72" t="str">
        <f>iScatter!B31</f>
        <v>Mexico City</v>
      </c>
      <c r="Q19" s="77">
        <f>iScatter!G31</f>
        <v>40.86</v>
      </c>
      <c r="R19" s="78">
        <f>iScatter!H31</f>
        <v>3</v>
      </c>
    </row>
    <row r="20" spans="15:18">
      <c r="O20">
        <f>iScatter!C32</f>
        <v>2</v>
      </c>
      <c r="P20" s="72" t="str">
        <f>iScatter!B32</f>
        <v>Lima</v>
      </c>
      <c r="Q20" s="77">
        <f>iScatter!G32</f>
        <v>67.87</v>
      </c>
      <c r="R20" s="78">
        <f>iScatter!H32</f>
        <v>1</v>
      </c>
    </row>
    <row r="21" spans="15:18">
      <c r="O21">
        <f>iScatter!C33</f>
        <v>2</v>
      </c>
      <c r="P21" s="72" t="str">
        <f>iScatter!B33</f>
        <v>Santiago</v>
      </c>
      <c r="Q21" s="77">
        <f>iScatter!G33</f>
        <v>86.66</v>
      </c>
      <c r="R21" s="78">
        <f>iScatter!H33</f>
        <v>1</v>
      </c>
    </row>
    <row r="22" spans="15:18">
      <c r="O22">
        <f>iScatter!C34</f>
        <v>2</v>
      </c>
      <c r="P22" s="72" t="str">
        <f>iScatter!B34</f>
        <v>New York</v>
      </c>
      <c r="Q22" s="77">
        <f>iScatter!G34</f>
        <v>79.86</v>
      </c>
      <c r="R22" s="78">
        <f>iScatter!H34</f>
        <v>1</v>
      </c>
    </row>
    <row r="23" spans="15:18">
      <c r="O23">
        <f>iScatter!C35</f>
        <v>2</v>
      </c>
      <c r="P23" s="72" t="str">
        <f>iScatter!B35</f>
        <v>Washington DC</v>
      </c>
      <c r="Q23" s="77">
        <f>iScatter!G35</f>
        <v>64.01</v>
      </c>
      <c r="R23" s="78">
        <f>iScatter!H35</f>
        <v>1</v>
      </c>
    </row>
    <row r="24" spans="15:18">
      <c r="O24">
        <f>iScatter!C36</f>
        <v>2</v>
      </c>
      <c r="P24" s="72" t="str">
        <f>iScatter!B36</f>
        <v>Sydney</v>
      </c>
      <c r="Q24" s="77">
        <f>iScatter!G36</f>
        <v>87.3</v>
      </c>
      <c r="R24" s="78">
        <f>iScatter!H36</f>
        <v>1</v>
      </c>
    </row>
    <row r="25" spans="15:18">
      <c r="O25">
        <f>iScatter!C37</f>
        <v>2</v>
      </c>
      <c r="P25" s="72" t="str">
        <f>iScatter!B37</f>
        <v>Melbourne</v>
      </c>
      <c r="Q25" s="77">
        <f>iScatter!G37</f>
        <v>89.06</v>
      </c>
      <c r="R25" s="78">
        <f>iScatter!H37</f>
        <v>1</v>
      </c>
    </row>
    <row r="26" spans="15:18">
      <c r="O26">
        <f>iScatter!C38</f>
        <v>2</v>
      </c>
      <c r="P26" s="72" t="str">
        <f>iScatter!B38</f>
        <v>Hong Kong</v>
      </c>
      <c r="Q26" s="77">
        <f>iScatter!G38</f>
        <v>62.92</v>
      </c>
      <c r="R26" s="78">
        <f>iScatter!H38</f>
        <v>1</v>
      </c>
    </row>
    <row r="27" spans="15:18">
      <c r="O27">
        <f>iScatter!C39</f>
        <v>2</v>
      </c>
      <c r="P27" s="72" t="str">
        <f>iScatter!B39</f>
        <v>Beijing </v>
      </c>
      <c r="Q27" s="77">
        <f>iScatter!G39</f>
        <v>79.57</v>
      </c>
      <c r="R27" s="78">
        <f>iScatter!H39</f>
        <v>1</v>
      </c>
    </row>
    <row r="28" spans="15:18">
      <c r="O28">
        <f>iScatter!C40</f>
        <v>2</v>
      </c>
      <c r="P28" s="72" t="str">
        <f>iScatter!B40</f>
        <v>Shanghai</v>
      </c>
      <c r="Q28" s="77">
        <f>iScatter!G40</f>
        <v>79.76</v>
      </c>
      <c r="R28" s="78">
        <f>iScatter!H40</f>
        <v>1</v>
      </c>
    </row>
    <row r="29" spans="15:18">
      <c r="O29">
        <f>iScatter!C41</f>
        <v>2</v>
      </c>
      <c r="P29" s="72" t="str">
        <f>iScatter!B41</f>
        <v>Shenzhen</v>
      </c>
      <c r="Q29" s="77">
        <f>iScatter!G41</f>
        <v>79.49</v>
      </c>
      <c r="R29" s="78">
        <f>iScatter!H41</f>
        <v>1</v>
      </c>
    </row>
    <row r="30" spans="15:18">
      <c r="O30">
        <f>iScatter!C42</f>
        <v>2</v>
      </c>
      <c r="P30" s="72" t="str">
        <f>iScatter!B42</f>
        <v>Guangzhou</v>
      </c>
      <c r="Q30" s="77">
        <f>iScatter!G42</f>
        <v>79.63</v>
      </c>
      <c r="R30" s="78">
        <f>iScatter!H42</f>
        <v>2</v>
      </c>
    </row>
    <row r="31" spans="15:18">
      <c r="O31">
        <f>iScatter!C43</f>
        <v>2</v>
      </c>
      <c r="P31" s="72" t="str">
        <f>iScatter!B43</f>
        <v>Tianjin</v>
      </c>
      <c r="Q31" s="77">
        <f>iScatter!G43</f>
        <v>79.56</v>
      </c>
      <c r="R31" s="78">
        <f>iScatter!H43</f>
        <v>1</v>
      </c>
    </row>
    <row r="32" spans="15:18">
      <c r="O32">
        <f>iScatter!C44</f>
        <v>2</v>
      </c>
      <c r="P32" s="72" t="str">
        <f>iScatter!B44</f>
        <v>Mumbai</v>
      </c>
      <c r="Q32" s="77">
        <f>iScatter!G44</f>
        <v>79.28</v>
      </c>
      <c r="R32" s="78">
        <f>iScatter!H44</f>
        <v>2</v>
      </c>
    </row>
    <row r="33" spans="15:18">
      <c r="O33">
        <f>iScatter!C45</f>
        <v>2</v>
      </c>
      <c r="P33" s="72" t="str">
        <f>iScatter!B45</f>
        <v>Delhi</v>
      </c>
      <c r="Q33" s="77">
        <f>iScatter!G45</f>
        <v>77.92</v>
      </c>
      <c r="R33" s="77">
        <f>iScatter!H45</f>
        <v>3</v>
      </c>
    </row>
    <row r="34" spans="15:18">
      <c r="O34">
        <f>iScatter!C46</f>
        <v>2</v>
      </c>
      <c r="P34" s="72" t="str">
        <f>iScatter!B46</f>
        <v>Jakarta</v>
      </c>
      <c r="Q34" s="77">
        <f>iScatter!G46</f>
        <v>58.04</v>
      </c>
      <c r="R34" s="77">
        <f>iScatter!H46</f>
        <v>3</v>
      </c>
    </row>
    <row r="35" spans="15:18">
      <c r="O35">
        <f>iScatter!C47</f>
        <v>2</v>
      </c>
      <c r="P35" s="72" t="str">
        <f>iScatter!B47</f>
        <v>Tehran</v>
      </c>
      <c r="Q35" s="77">
        <f>iScatter!G47</f>
        <v>84.46</v>
      </c>
      <c r="R35" s="77">
        <f>iScatter!H47</f>
        <v>4</v>
      </c>
    </row>
    <row r="36" spans="15:18">
      <c r="O36">
        <f>iScatter!C48</f>
        <v>2</v>
      </c>
      <c r="P36" s="72" t="str">
        <f>iScatter!B48</f>
        <v>Tokyo</v>
      </c>
      <c r="Q36" s="77">
        <f>iScatter!G48</f>
        <v>84.08</v>
      </c>
      <c r="R36" s="77">
        <f>iScatter!H48</f>
        <v>1</v>
      </c>
    </row>
    <row r="37" spans="15:18">
      <c r="O37">
        <f>iScatter!C49</f>
        <v>2</v>
      </c>
      <c r="P37" s="72" t="str">
        <f>iScatter!B49</f>
        <v>Osaka</v>
      </c>
      <c r="Q37" s="77">
        <f>iScatter!G49</f>
        <v>75.92</v>
      </c>
      <c r="R37" s="77">
        <f>iScatter!H49</f>
        <v>1</v>
      </c>
    </row>
    <row r="38" spans="15:18">
      <c r="O38">
        <f>iScatter!C50</f>
        <v>2</v>
      </c>
      <c r="P38" s="72" t="str">
        <f>iScatter!B50</f>
        <v>Singapore</v>
      </c>
      <c r="Q38" s="77">
        <f>iScatter!G50</f>
        <v>81.21</v>
      </c>
      <c r="R38" s="77">
        <f>iScatter!H50</f>
        <v>1</v>
      </c>
    </row>
    <row r="39" spans="15:18">
      <c r="O39">
        <f>iScatter!C51</f>
        <v>2</v>
      </c>
      <c r="P39" s="72" t="str">
        <f>iScatter!B51</f>
        <v>Seoul</v>
      </c>
      <c r="Q39" s="77">
        <f>iScatter!G51</f>
        <v>86.79</v>
      </c>
      <c r="R39" s="77">
        <f>iScatter!H51</f>
        <v>1</v>
      </c>
    </row>
    <row r="40" spans="15:18">
      <c r="O40">
        <f>iScatter!C52</f>
        <v>2</v>
      </c>
      <c r="P40" s="72" t="str">
        <f>iScatter!B52</f>
        <v>Taipei</v>
      </c>
      <c r="Q40" s="77">
        <f>iScatter!G52</f>
        <v>93.49</v>
      </c>
      <c r="R40" s="77">
        <f>iScatter!H52</f>
        <v>2</v>
      </c>
    </row>
    <row r="41" spans="15:18">
      <c r="O41">
        <f>iScatter!C53</f>
        <v>2</v>
      </c>
      <c r="P41" s="72" t="str">
        <f>iScatter!B53</f>
        <v>Bangkok</v>
      </c>
      <c r="Q41" s="77">
        <f>iScatter!G53</f>
        <v>77.89</v>
      </c>
      <c r="R41" s="77">
        <f>iScatter!H53</f>
        <v>1</v>
      </c>
    </row>
    <row r="42" spans="15:18">
      <c r="O42">
        <f>iScatter!C54</f>
        <v>2</v>
      </c>
      <c r="P42" s="72" t="str">
        <f>iScatter!B54</f>
        <v>Ho Chi Minh</v>
      </c>
      <c r="Q42" s="77">
        <f>iScatter!G54</f>
        <v>74.81</v>
      </c>
      <c r="R42" s="77">
        <f>iScatter!H54</f>
        <v>3</v>
      </c>
    </row>
    <row r="43" spans="15:18">
      <c r="O43">
        <f>iScatter!C55</f>
        <v>2</v>
      </c>
      <c r="P43" s="72" t="str">
        <f>iScatter!B55</f>
        <v>Kuwait City</v>
      </c>
      <c r="Q43" s="77">
        <f>iScatter!G55</f>
        <v>85.8</v>
      </c>
      <c r="R43" s="77">
        <f>iScatter!H55</f>
        <v>1</v>
      </c>
    </row>
    <row r="44" spans="15:18">
      <c r="O44">
        <f>iScatter!C56</f>
        <v>4</v>
      </c>
      <c r="P44" s="72" t="str">
        <f>iScatter!B56</f>
        <v>Doha</v>
      </c>
      <c r="Q44" s="77">
        <f>iScatter!G56</f>
        <v>83.67</v>
      </c>
      <c r="R44" s="77">
        <f>iScatter!H56</f>
        <v>2</v>
      </c>
    </row>
    <row r="45" spans="15:18">
      <c r="O45">
        <f>iScatter!C57</f>
        <v>2</v>
      </c>
      <c r="P45" s="72" t="str">
        <f>iScatter!B57</f>
        <v>Riyadh</v>
      </c>
      <c r="Q45" s="77">
        <f>iScatter!G57</f>
        <v>69.55</v>
      </c>
      <c r="R45" s="77">
        <f>iScatter!H57</f>
        <v>2</v>
      </c>
    </row>
    <row r="46" spans="15:18">
      <c r="O46">
        <f>iScatter!C58</f>
        <v>3</v>
      </c>
      <c r="P46" s="72" t="str">
        <f>iScatter!B58</f>
        <v>Abu Dhabi</v>
      </c>
      <c r="Q46" s="77">
        <f>iScatter!G58</f>
        <v>85.81</v>
      </c>
      <c r="R46" s="77">
        <f>iScatter!H58</f>
        <v>2</v>
      </c>
    </row>
    <row r="47" spans="15:18">
      <c r="O47">
        <f>iScatter!C59</f>
        <v>2</v>
      </c>
      <c r="P47" s="72" t="str">
        <f>iScatter!B59</f>
        <v>Brussels</v>
      </c>
      <c r="Q47" s="77">
        <f>iScatter!G59</f>
        <v>81.69</v>
      </c>
      <c r="R47" s="77">
        <f>iScatter!H59</f>
        <v>1</v>
      </c>
    </row>
    <row r="48" spans="15:18">
      <c r="O48">
        <f>iScatter!C60</f>
        <v>2</v>
      </c>
      <c r="P48" s="72" t="str">
        <f>iScatter!B60</f>
        <v>Paris</v>
      </c>
      <c r="Q48" s="77">
        <f>iScatter!G60</f>
        <v>78.94</v>
      </c>
      <c r="R48" s="77">
        <f>iScatter!H60</f>
        <v>1</v>
      </c>
    </row>
    <row r="49" spans="15:18">
      <c r="O49">
        <f>iScatter!C61</f>
        <v>2</v>
      </c>
      <c r="P49" s="72" t="str">
        <f>iScatter!B61</f>
        <v>Frankfurt</v>
      </c>
      <c r="Q49" s="77">
        <f>iScatter!G61</f>
        <v>70.09</v>
      </c>
      <c r="R49" s="77">
        <f>iScatter!H61</f>
        <v>1</v>
      </c>
    </row>
    <row r="50" spans="15:18">
      <c r="O50">
        <f>iScatter!C62</f>
        <v>2</v>
      </c>
      <c r="P50" s="72" t="str">
        <f>iScatter!B62</f>
        <v>Rome</v>
      </c>
      <c r="Q50" s="77">
        <f>iScatter!G62</f>
        <v>74.05</v>
      </c>
      <c r="R50" s="77">
        <f>iScatter!H62</f>
        <v>1</v>
      </c>
    </row>
    <row r="51" spans="15:18">
      <c r="O51">
        <f>iScatter!C63</f>
        <v>2</v>
      </c>
      <c r="P51" s="72" t="str">
        <f>iScatter!B63</f>
        <v>Milan</v>
      </c>
      <c r="Q51" s="77">
        <f>iScatter!G63</f>
        <v>69.31</v>
      </c>
      <c r="R51" s="77">
        <f>iScatter!H63</f>
        <v>1</v>
      </c>
    </row>
    <row r="52" spans="15:18">
      <c r="O52">
        <f>iScatter!C64</f>
        <v>2</v>
      </c>
      <c r="P52" s="72" t="str">
        <f>iScatter!B64</f>
        <v>Amsterdam</v>
      </c>
      <c r="Q52" s="77">
        <f>iScatter!G64</f>
        <v>88.54</v>
      </c>
      <c r="R52" s="77">
        <f>iScatter!H64</f>
        <v>1</v>
      </c>
    </row>
    <row r="53" spans="15:18">
      <c r="O53">
        <f>iScatter!C65</f>
        <v>2</v>
      </c>
      <c r="P53" s="72" t="str">
        <f>iScatter!B65</f>
        <v>Moscow</v>
      </c>
      <c r="Q53" s="77">
        <f>iScatter!G65</f>
        <v>64.31</v>
      </c>
      <c r="R53" s="77">
        <f>iScatter!H65</f>
        <v>1</v>
      </c>
    </row>
    <row r="54" spans="15:18">
      <c r="O54">
        <f>iScatter!C66</f>
        <v>2</v>
      </c>
      <c r="P54" s="72" t="str">
        <f>iScatter!B66</f>
        <v>Madrid</v>
      </c>
      <c r="Q54" s="77">
        <f>iScatter!G66</f>
        <v>80.07</v>
      </c>
      <c r="R54" s="77">
        <f>iScatter!H66</f>
        <v>1</v>
      </c>
    </row>
    <row r="55" spans="15:18">
      <c r="O55">
        <f>iScatter!C67</f>
        <v>2</v>
      </c>
      <c r="P55" s="72" t="str">
        <f>iScatter!B67</f>
        <v>Barcelona</v>
      </c>
      <c r="Q55" s="77">
        <f>iScatter!G67</f>
        <v>76.79</v>
      </c>
      <c r="R55" s="77">
        <f>iScatter!H67</f>
        <v>1</v>
      </c>
    </row>
    <row r="56" spans="15:18">
      <c r="O56">
        <f>iScatter!C68</f>
        <v>2</v>
      </c>
      <c r="P56" s="72" t="str">
        <f>iScatter!B68</f>
        <v>Zurich</v>
      </c>
      <c r="Q56" s="77">
        <f>iScatter!G68</f>
        <v>91.26</v>
      </c>
      <c r="R56" s="77">
        <f>iScatter!H68</f>
        <v>1</v>
      </c>
    </row>
    <row r="57" spans="15:18">
      <c r="O57">
        <f>iScatter!C69</f>
        <v>2</v>
      </c>
      <c r="P57" s="72" t="str">
        <f>iScatter!B69</f>
        <v>Istanbul</v>
      </c>
      <c r="Q57" s="77">
        <f>iScatter!G69</f>
        <v>79.42</v>
      </c>
      <c r="R57" s="77">
        <f>iScatter!H69</f>
        <v>2</v>
      </c>
    </row>
    <row r="58" spans="15:18">
      <c r="O58">
        <f>iScatter!C70</f>
        <v>2</v>
      </c>
      <c r="P58" s="72" t="str">
        <f>iScatter!B70</f>
        <v>London</v>
      </c>
      <c r="Q58" s="77">
        <f>iScatter!G70</f>
        <v>81.81</v>
      </c>
      <c r="R58" s="77">
        <f>iScatter!H70</f>
        <v>1</v>
      </c>
    </row>
    <row r="59" spans="16:18">
      <c r="P59" s="73"/>
      <c r="Q59" s="73"/>
      <c r="R59" s="73"/>
    </row>
    <row r="60" spans="16:16">
      <c r="P60" t="str">
        <f>CONCATENATE("X:",iScatter!G2)</f>
        <v>X:Infrastructure Safety (Outputs): Weighted sum of underlying indicator scores;</v>
      </c>
    </row>
    <row r="61" spans="16:16">
      <c r="P61" t="str">
        <f>CONCATENATE("Y:",iScatter!G3)</f>
        <v>Y:Quality of electricity infrastructure: Scale 1-5</v>
      </c>
    </row>
  </sheetData>
  <sheetProtection sheet="1" selectLockedCells="1" selectUnlockedCells="1" objects="1" scenarios="1"/>
  <conditionalFormatting sqref="P9:R58">
    <cfRule type="expression" dxfId="2" priority="1">
      <formula>$O9=3</formula>
    </cfRule>
  </conditionalFormatting>
  <pageMargins left="0.708661417322835" right="0.708661417322835" top="0.748031496062992" bottom="0.748031496062992" header="0.31496062992126" footer="0.31496062992126"/>
  <pageSetup paperSize="1" scale="60" orientation="landscape"/>
  <headerFooter>
    <oddHeader>&amp;R&amp;"Calibri,Regular"&amp;10&amp;K808080EIU SAFE CITY INDEX 2014</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592975" name="cnt_scatter_x" r:id="rId3">
              <controlPr print="0" defaultSize="0">
                <anchor>
                  <from>
                    <xdr:col>0</xdr:col>
                    <xdr:colOff>123825</xdr:colOff>
                    <xdr:row>2</xdr:row>
                    <xdr:rowOff>228600</xdr:rowOff>
                  </from>
                  <to>
                    <xdr:col>5</xdr:col>
                    <xdr:colOff>371475</xdr:colOff>
                    <xdr:row>2</xdr:row>
                    <xdr:rowOff>428625</xdr:rowOff>
                  </to>
                </anchor>
              </controlPr>
            </control>
          </mc:Choice>
        </mc:AlternateContent>
        <mc:AlternateContent xmlns:mc="http://schemas.openxmlformats.org/markup-compatibility/2006">
          <mc:Choice Requires="x14">
            <control shapeId="592976" name="cnt_scatter_y" r:id="rId4">
              <controlPr print="0" defaultSize="0">
                <anchor>
                  <from>
                    <xdr:col>5</xdr:col>
                    <xdr:colOff>504825</xdr:colOff>
                    <xdr:row>2</xdr:row>
                    <xdr:rowOff>228600</xdr:rowOff>
                  </from>
                  <to>
                    <xdr:col>11</xdr:col>
                    <xdr:colOff>142875</xdr:colOff>
                    <xdr:row>2</xdr:row>
                    <xdr:rowOff>428625</xdr:rowOff>
                  </to>
                </anchor>
              </controlPr>
            </control>
          </mc:Choice>
        </mc:AlternateContent>
        <mc:AlternateContent xmlns:mc="http://schemas.openxmlformats.org/markup-compatibility/2006">
          <mc:Choice Requires="x14">
            <control shapeId="592977" name="cnt_Country_Highlight" r:id="rId5">
              <controlPr print="0" defaultSize="0">
                <anchor>
                  <from>
                    <xdr:col>11</xdr:col>
                    <xdr:colOff>266700</xdr:colOff>
                    <xdr:row>2</xdr:row>
                    <xdr:rowOff>228600</xdr:rowOff>
                  </from>
                  <to>
                    <xdr:col>13</xdr:col>
                    <xdr:colOff>219075</xdr:colOff>
                    <xdr:row>2</xdr:row>
                    <xdr:rowOff>428625</xdr:rowOff>
                  </to>
                </anchor>
              </controlPr>
            </control>
          </mc:Choice>
        </mc:AlternateContent>
        <mc:AlternateContent xmlns:mc="http://schemas.openxmlformats.org/markup-compatibility/2006">
          <mc:Choice Requires="x14">
            <control shapeId="592978" name="cnt_scatter_labels" r:id="rId6">
              <controlPr print="0" defaultSize="0">
                <anchor>
                  <from>
                    <xdr:col>13</xdr:col>
                    <xdr:colOff>371475</xdr:colOff>
                    <xdr:row>2</xdr:row>
                    <xdr:rowOff>228600</xdr:rowOff>
                  </from>
                  <to>
                    <xdr:col>16</xdr:col>
                    <xdr:colOff>180975</xdr:colOff>
                    <xdr:row>2</xdr:row>
                    <xdr:rowOff>447675</xdr:rowOff>
                  </to>
                </anchor>
              </controlPr>
            </control>
          </mc:Choice>
        </mc:AlternateContent>
        <mc:AlternateContent xmlns:mc="http://schemas.openxmlformats.org/markup-compatibility/2006">
          <mc:Choice Requires="x14">
            <control shapeId="592979" name="cnt_scatter_outliers" r:id="rId7">
              <controlPr print="0" defaultSize="0">
                <anchor>
                  <from>
                    <xdr:col>16</xdr:col>
                    <xdr:colOff>314325</xdr:colOff>
                    <xdr:row>2</xdr:row>
                    <xdr:rowOff>228600</xdr:rowOff>
                  </from>
                  <to>
                    <xdr:col>18</xdr:col>
                    <xdr:colOff>85725</xdr:colOff>
                    <xdr:row>2</xdr:row>
                    <xdr:rowOff>447675</xdr:rowOff>
                  </to>
                </anchor>
              </controlPr>
            </control>
          </mc:Choice>
        </mc:AlternateContent>
        <mc:AlternateContent xmlns:mc="http://schemas.openxmlformats.org/markup-compatibility/2006">
          <mc:Choice Requires="x14">
            <control shapeId="592980" name="Drop Down 84" r:id="rId8">
              <controlPr print="0" defaultSize="0">
                <anchor>
                  <from>
                    <xdr:col>11</xdr:col>
                    <xdr:colOff>276225</xdr:colOff>
                    <xdr:row>4</xdr:row>
                    <xdr:rowOff>38100</xdr:rowOff>
                  </from>
                  <to>
                    <xdr:col>13</xdr:col>
                    <xdr:colOff>247650</xdr:colOff>
                    <xdr:row>5</xdr:row>
                    <xdr:rowOff>9525</xdr:rowOff>
                  </to>
                </anchor>
              </controlPr>
            </control>
          </mc:Choice>
        </mc:AlternateContent>
        <mc:AlternateContent xmlns:mc="http://schemas.openxmlformats.org/markup-compatibility/2006">
          <mc:Choice Requires="x14">
            <control shapeId="592981" name="cnt_highlight_group" r:id="rId9">
              <controlPr print="0" defaultSize="0">
                <anchor>
                  <from>
                    <xdr:col>15</xdr:col>
                    <xdr:colOff>28575</xdr:colOff>
                    <xdr:row>4</xdr:row>
                    <xdr:rowOff>38100</xdr:rowOff>
                  </from>
                  <to>
                    <xdr:col>16</xdr:col>
                    <xdr:colOff>247650</xdr:colOff>
                    <xdr:row>5</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pageSetUpPr fitToPage="1"/>
  </sheetPr>
  <dimension ref="A1:BM109"/>
  <sheetViews>
    <sheetView showGridLines="0" showRowColHeaders="0" workbookViewId="0">
      <pane ySplit="8" topLeftCell="A9" activePane="bottomLeft" state="frozen"/>
      <selection/>
      <selection pane="bottomLeft" activeCell="A1" sqref="A1"/>
    </sheetView>
  </sheetViews>
  <sheetFormatPr defaultColWidth="9" defaultRowHeight="15"/>
  <cols>
    <col min="1" max="1" width="4" customWidth="1"/>
    <col min="2" max="2" width="10.7142857142857" hidden="1" customWidth="1"/>
    <col min="3" max="5" width="9.28571428571429" hidden="1" customWidth="1"/>
    <col min="6" max="6" width="22.1428571428571" hidden="1" customWidth="1"/>
    <col min="7" max="7" width="6.14285714285714" hidden="1" customWidth="1"/>
    <col min="8" max="8" width="6.42857142857143" hidden="1" customWidth="1"/>
    <col min="9" max="11" width="10.4285714285714" hidden="1" customWidth="1"/>
    <col min="12" max="12" width="63" customWidth="1"/>
    <col min="13" max="13" width="11" customWidth="1"/>
    <col min="14" max="63" width="14.4285714285714" customWidth="1"/>
  </cols>
  <sheetData>
    <row r="1" ht="27" customHeight="1" spans="1:12">
      <c r="A1" s="2" t="str">
        <f>Summary!A1</f>
        <v>                             Safe City Index</v>
      </c>
      <c r="B1" s="2"/>
      <c r="C1" s="2"/>
      <c r="L1" t="s">
        <v>1699</v>
      </c>
    </row>
    <row r="2" ht="21" customHeight="1"/>
    <row r="3" ht="37.5" customHeight="1"/>
    <row r="4" ht="8.25" customHeight="1"/>
    <row r="5" spans="12:12">
      <c r="L5" t="s">
        <v>410</v>
      </c>
    </row>
    <row r="6" ht="18" hidden="1" customHeight="1"/>
    <row r="7" ht="18" hidden="1" customHeight="1" spans="12:63">
      <c r="L7" s="23"/>
      <c r="M7" s="23"/>
      <c r="N7" s="23">
        <v>1</v>
      </c>
      <c r="O7" s="23">
        <v>2</v>
      </c>
      <c r="P7" s="23">
        <v>3</v>
      </c>
      <c r="Q7" s="23">
        <v>4</v>
      </c>
      <c r="R7" s="23">
        <v>5</v>
      </c>
      <c r="S7" s="23">
        <v>6</v>
      </c>
      <c r="T7" s="23">
        <v>7</v>
      </c>
      <c r="U7" s="23">
        <v>8</v>
      </c>
      <c r="V7" s="23">
        <v>9</v>
      </c>
      <c r="W7" s="23">
        <v>10</v>
      </c>
      <c r="X7" s="23">
        <v>11</v>
      </c>
      <c r="Y7" s="23">
        <v>12</v>
      </c>
      <c r="Z7" s="23">
        <v>13</v>
      </c>
      <c r="AA7" s="23">
        <v>14</v>
      </c>
      <c r="AB7" s="23">
        <v>15</v>
      </c>
      <c r="AC7" s="23">
        <v>16</v>
      </c>
      <c r="AD7" s="23">
        <v>17</v>
      </c>
      <c r="AE7" s="23">
        <v>18</v>
      </c>
      <c r="AF7" s="23">
        <v>19</v>
      </c>
      <c r="AG7" s="23">
        <v>20</v>
      </c>
      <c r="AH7" s="23">
        <v>21</v>
      </c>
      <c r="AI7" s="23">
        <v>22</v>
      </c>
      <c r="AJ7" s="23">
        <v>23</v>
      </c>
      <c r="AK7" s="23">
        <v>24</v>
      </c>
      <c r="AL7" s="23">
        <v>25</v>
      </c>
      <c r="AM7" s="23">
        <v>26</v>
      </c>
      <c r="AN7" s="23">
        <v>27</v>
      </c>
      <c r="AO7" s="23">
        <v>28</v>
      </c>
      <c r="AP7" s="23">
        <v>29</v>
      </c>
      <c r="AQ7" s="23">
        <v>30</v>
      </c>
      <c r="AR7" s="23">
        <v>31</v>
      </c>
      <c r="AS7" s="23">
        <v>32</v>
      </c>
      <c r="AT7" s="23">
        <v>33</v>
      </c>
      <c r="AU7" s="23">
        <v>34</v>
      </c>
      <c r="AV7" s="23">
        <v>35</v>
      </c>
      <c r="AW7" s="23">
        <v>36</v>
      </c>
      <c r="AX7" s="23">
        <v>37</v>
      </c>
      <c r="AY7" s="23">
        <v>38</v>
      </c>
      <c r="AZ7" s="23">
        <v>39</v>
      </c>
      <c r="BA7" s="23">
        <v>40</v>
      </c>
      <c r="BB7" s="23">
        <v>41</v>
      </c>
      <c r="BC7" s="23">
        <v>42</v>
      </c>
      <c r="BD7" s="23">
        <v>43</v>
      </c>
      <c r="BE7" s="23">
        <v>44</v>
      </c>
      <c r="BF7" s="23">
        <v>45</v>
      </c>
      <c r="BG7" s="23">
        <v>46</v>
      </c>
      <c r="BH7" s="23">
        <v>47</v>
      </c>
      <c r="BI7" s="23">
        <v>48</v>
      </c>
      <c r="BJ7" s="23">
        <v>49</v>
      </c>
      <c r="BK7" s="23">
        <v>50</v>
      </c>
    </row>
    <row r="8" ht="18" customHeight="1" spans="1:63">
      <c r="A8" s="24"/>
      <c r="B8" s="24" t="str">
        <f>tblIndicators!B1</f>
        <v>IndiCode</v>
      </c>
      <c r="C8" s="24" t="str">
        <f>tblIndicators!C1</f>
        <v>IndiParent</v>
      </c>
      <c r="D8" s="24" t="s">
        <v>37</v>
      </c>
      <c r="E8" s="24" t="str">
        <f>tblIndicators!M1</f>
        <v>Score_System, 1 = weighted sum of scores, 2 = norm based on actual max/min, 3 = norm based on fixed max/min</v>
      </c>
      <c r="F8" s="24" t="str">
        <f>tblIndicators!N1</f>
        <v>Score_Param1 (0=High Is Good)</v>
      </c>
      <c r="G8" s="24" t="s">
        <v>1711</v>
      </c>
      <c r="H8" s="24" t="s">
        <v>1712</v>
      </c>
      <c r="I8" s="24" t="str">
        <f>tblIndicators!Q1</f>
        <v>Min</v>
      </c>
      <c r="J8" s="24" t="str">
        <f>tblIndicators!R1</f>
        <v>Max</v>
      </c>
      <c r="K8" s="24" t="s">
        <v>411</v>
      </c>
      <c r="L8" s="25" t="s">
        <v>77</v>
      </c>
      <c r="M8" s="25" t="s">
        <v>412</v>
      </c>
      <c r="N8" s="26" t="str">
        <f t="shared" ref="N8:BK8" si="0">INDEX(luCountry,N7)</f>
        <v>Stockholm</v>
      </c>
      <c r="O8" s="26" t="str">
        <f t="shared" si="0"/>
        <v>Johannesburg</v>
      </c>
      <c r="P8" s="26" t="str">
        <f t="shared" si="0"/>
        <v>Buenos Aires</v>
      </c>
      <c r="Q8" s="26" t="str">
        <f t="shared" si="0"/>
        <v>Sao Paulo</v>
      </c>
      <c r="R8" s="26" t="str">
        <f t="shared" si="0"/>
        <v>Rio de Janeiro</v>
      </c>
      <c r="S8" s="26" t="str">
        <f t="shared" si="0"/>
        <v>Los Angeles</v>
      </c>
      <c r="T8" s="26" t="str">
        <f t="shared" si="0"/>
        <v>San Francisco</v>
      </c>
      <c r="U8" s="26" t="str">
        <f t="shared" si="0"/>
        <v>Toronto</v>
      </c>
      <c r="V8" s="26" t="str">
        <f t="shared" si="0"/>
        <v>Montreal</v>
      </c>
      <c r="W8" s="26" t="str">
        <f t="shared" si="0"/>
        <v>Chicago</v>
      </c>
      <c r="X8" s="26" t="str">
        <f t="shared" si="0"/>
        <v>Mexico City</v>
      </c>
      <c r="Y8" s="26" t="str">
        <f t="shared" si="0"/>
        <v>Lima</v>
      </c>
      <c r="Z8" s="26" t="str">
        <f t="shared" si="0"/>
        <v>Santiago</v>
      </c>
      <c r="AA8" s="26" t="str">
        <f t="shared" si="0"/>
        <v>New York</v>
      </c>
      <c r="AB8" s="26" t="str">
        <f t="shared" si="0"/>
        <v>Washington DC</v>
      </c>
      <c r="AC8" s="26" t="str">
        <f t="shared" si="0"/>
        <v>Sydney</v>
      </c>
      <c r="AD8" s="26" t="str">
        <f t="shared" si="0"/>
        <v>Melbourne</v>
      </c>
      <c r="AE8" s="26" t="str">
        <f t="shared" si="0"/>
        <v>Hong Kong</v>
      </c>
      <c r="AF8" s="26" t="str">
        <f t="shared" si="0"/>
        <v>Beijing </v>
      </c>
      <c r="AG8" s="26" t="str">
        <f t="shared" si="0"/>
        <v>Shanghai</v>
      </c>
      <c r="AH8" s="26" t="str">
        <f t="shared" si="0"/>
        <v>Shenzhen</v>
      </c>
      <c r="AI8" s="26" t="str">
        <f t="shared" si="0"/>
        <v>Guangzhou</v>
      </c>
      <c r="AJ8" s="26" t="str">
        <f t="shared" si="0"/>
        <v>Tianjin</v>
      </c>
      <c r="AK8" s="26" t="str">
        <f t="shared" si="0"/>
        <v>Mumbai</v>
      </c>
      <c r="AL8" s="26" t="str">
        <f t="shared" si="0"/>
        <v>Delhi</v>
      </c>
      <c r="AM8" s="26" t="str">
        <f t="shared" si="0"/>
        <v>Jakarta</v>
      </c>
      <c r="AN8" s="26" t="str">
        <f t="shared" si="0"/>
        <v>Tehran</v>
      </c>
      <c r="AO8" s="26" t="str">
        <f t="shared" si="0"/>
        <v>Tokyo</v>
      </c>
      <c r="AP8" s="26" t="str">
        <f t="shared" si="0"/>
        <v>Osaka</v>
      </c>
      <c r="AQ8" s="26" t="str">
        <f t="shared" si="0"/>
        <v>Singapore</v>
      </c>
      <c r="AR8" s="26" t="str">
        <f t="shared" si="0"/>
        <v>Seoul</v>
      </c>
      <c r="AS8" s="26" t="str">
        <f t="shared" si="0"/>
        <v>Taipei</v>
      </c>
      <c r="AT8" s="26" t="str">
        <f t="shared" si="0"/>
        <v>Bangkok</v>
      </c>
      <c r="AU8" s="26" t="str">
        <f t="shared" si="0"/>
        <v>Ho Chi Minh</v>
      </c>
      <c r="AV8" s="26" t="str">
        <f t="shared" si="0"/>
        <v>Kuwait City</v>
      </c>
      <c r="AW8" s="26" t="str">
        <f t="shared" si="0"/>
        <v>Doha</v>
      </c>
      <c r="AX8" s="26" t="str">
        <f t="shared" si="0"/>
        <v>Riyadh</v>
      </c>
      <c r="AY8" s="26" t="str">
        <f t="shared" si="0"/>
        <v>Abu Dhabi</v>
      </c>
      <c r="AZ8" s="26" t="str">
        <f t="shared" si="0"/>
        <v>Brussels</v>
      </c>
      <c r="BA8" s="26" t="str">
        <f t="shared" si="0"/>
        <v>Paris</v>
      </c>
      <c r="BB8" s="26" t="str">
        <f t="shared" si="0"/>
        <v>Frankfurt</v>
      </c>
      <c r="BC8" s="26" t="str">
        <f t="shared" si="0"/>
        <v>Rome</v>
      </c>
      <c r="BD8" s="26" t="str">
        <f t="shared" si="0"/>
        <v>Milan</v>
      </c>
      <c r="BE8" s="26" t="str">
        <f t="shared" si="0"/>
        <v>Amsterdam</v>
      </c>
      <c r="BF8" s="26" t="str">
        <f t="shared" si="0"/>
        <v>Moscow</v>
      </c>
      <c r="BG8" s="26" t="str">
        <f t="shared" si="0"/>
        <v>Madrid</v>
      </c>
      <c r="BH8" s="26" t="str">
        <f t="shared" si="0"/>
        <v>Barcelona</v>
      </c>
      <c r="BI8" s="26" t="str">
        <f t="shared" si="0"/>
        <v>Zurich</v>
      </c>
      <c r="BJ8" s="26" t="str">
        <f t="shared" si="0"/>
        <v>Istanbul</v>
      </c>
      <c r="BK8" s="26" t="str">
        <f t="shared" si="0"/>
        <v>London</v>
      </c>
    </row>
    <row r="9" spans="1:65">
      <c r="A9" s="24"/>
      <c r="B9" s="24" t="str">
        <f>tblIndicators!B2</f>
        <v>TOTAL</v>
      </c>
      <c r="C9" s="24">
        <f>tblIndicators!C2</f>
        <v>0</v>
      </c>
      <c r="D9" s="52">
        <f>tblIndicators!D2</f>
        <v>0</v>
      </c>
      <c r="E9" s="52">
        <f>tblIndicators!M2</f>
        <v>1</v>
      </c>
      <c r="F9" s="52">
        <f>tblIndicators!N2</f>
        <v>0</v>
      </c>
      <c r="G9" s="52">
        <f>tblIndicators!Q2</f>
        <v>0</v>
      </c>
      <c r="H9" s="52">
        <f>tblIndicators!R2</f>
        <v>0</v>
      </c>
      <c r="I9" s="52" t="str">
        <f>IF($E9=2,MIN(Data!G7:BD7),"")</f>
        <v/>
      </c>
      <c r="J9" s="52" t="str">
        <f>IF($E9=2,MAX(Data!G7:BD7),"")</f>
        <v/>
      </c>
      <c r="K9" s="54" t="str">
        <f>CHOOSE($E9,"",100/(J9-I9),100/(H9-G9))</f>
        <v/>
      </c>
      <c r="L9" s="55" t="str">
        <f>tblIndicators!Z2</f>
        <v>TOTAL SCORE</v>
      </c>
      <c r="M9" s="56"/>
      <c r="N9" s="57">
        <f>CHOOSE($E9,SUMPRODUCT((N10:N$65)*($M10:$M$65)*($C10:C$65=$B9)),IF(NOT(ISNUMBER(Data!G7)),0,ABS(($F9*100)-(Data!G7-$I9)*$K9)),ABS(($F9*100)-(Data!G7-$G9)*$K9))</f>
        <v>80.0186244665107</v>
      </c>
      <c r="O9" s="57">
        <f>CHOOSE($E9,SUMPRODUCT((O10:O$65)*($M10:$M$65)*($C10:D$65=$B9)),IF(NOT(ISNUMBER(Data!H7)),0,ABS(($F9*100)-(Data!H7-$I9)*$K9)),ABS(($F9*100)-(Data!H7-$G9)*$K9))</f>
        <v>56.2582525915006</v>
      </c>
      <c r="P9" s="57">
        <f>CHOOSE($E9,SUMPRODUCT((P10:P$65)*($M10:$M$65)*($C10:E$65=$B9)),IF(NOT(ISNUMBER(Data!I7)),0,ABS(($F9*100)-(Data!I7-$I9)*$K9)),ABS(($F9*100)-(Data!I7-$G9)*$K9))</f>
        <v>65.8765921438428</v>
      </c>
      <c r="Q9" s="57">
        <f>CHOOSE($E9,SUMPRODUCT((Q10:Q$65)*($M10:$M$65)*($C10:F$65=$B9)),IF(NOT(ISNUMBER(Data!J7)),0,ABS(($F9*100)-(Data!J7-$I9)*$K9)),ABS(($F9*100)-(Data!J7-$G9)*$K9))</f>
        <v>62.3254478514794</v>
      </c>
      <c r="R9" s="57">
        <f>CHOOSE($E9,SUMPRODUCT((R10:R$65)*($M10:$M$65)*($C10:G$65=$B9)),IF(NOT(ISNUMBER(Data!K7)),0,ABS(($F9*100)-(Data!K7-$I9)*$K9)),ABS(($F9*100)-(Data!K7-$G9)*$K9))</f>
        <v>63.5158493454929</v>
      </c>
      <c r="S9" s="57">
        <f>CHOOSE($E9,SUMPRODUCT((S10:S$65)*($M10:$M$65)*($C10:H$65=$B9)),IF(NOT(ISNUMBER(Data!L7)),0,ABS(($F9*100)-(Data!L7-$I9)*$K9)),ABS(($F9*100)-(Data!L7-$G9)*$K9))</f>
        <v>74.236163651993</v>
      </c>
      <c r="T9" s="57">
        <f>CHOOSE($E9,SUMPRODUCT((T10:T$65)*($M10:$M$65)*($C10:I$65=$B9)),IF(NOT(ISNUMBER(Data!M7)),0,ABS(($F9*100)-(Data!M7-$I9)*$K9)),ABS(($F9*100)-(Data!M7-$G9)*$K9))</f>
        <v>76.6256721276085</v>
      </c>
      <c r="U9" s="57">
        <f>CHOOSE($E9,SUMPRODUCT((U10:U$65)*($M10:$M$65)*($C10:J$65=$B9)),IF(NOT(ISNUMBER(Data!N7)),0,ABS(($F9*100)-(Data!N7-$I9)*$K9)),ABS(($F9*100)-(Data!N7-$G9)*$K9))</f>
        <v>78.8076431086194</v>
      </c>
      <c r="V9" s="57">
        <f>CHOOSE($E9,SUMPRODUCT((V10:V$65)*($M10:$M$65)*($C10:K$65=$B9)),IF(NOT(ISNUMBER(Data!O7)),0,ABS(($F9*100)-(Data!O7-$I9)*$K9)),ABS(($F9*100)-(Data!O7-$G9)*$K9))</f>
        <v>75.5987991707663</v>
      </c>
      <c r="W9" s="57">
        <f>CHOOSE($E9,SUMPRODUCT((W10:W$65)*($M10:$M$65)*($C10:L$65=$B9)),IF(NOT(ISNUMBER(Data!P7)),0,ABS(($F9*100)-(Data!P7-$I9)*$K9)),ABS(($F9*100)-(Data!P7-$G9)*$K9))</f>
        <v>74.8923949195908</v>
      </c>
      <c r="X9" s="57">
        <f>CHOOSE($E9,SUMPRODUCT((X10:X$65)*($M10:$M$65)*($C10:M$65=$B9)),IF(NOT(ISNUMBER(Data!Q7)),0,ABS(($F9*100)-(Data!Q7-$I9)*$K9)),ABS(($F9*100)-(Data!Q7-$G9)*$K9))</f>
        <v>59.4606315231101</v>
      </c>
      <c r="Y9" s="57">
        <f>CHOOSE($E9,SUMPRODUCT((Y10:Y$65)*($M10:$M$65)*($C10:N$65=$B9)),IF(NOT(ISNUMBER(Data!R7)),0,ABS(($F9*100)-(Data!R7-$I9)*$K9)),ABS(($F9*100)-(Data!R7-$G9)*$K9))</f>
        <v>65.0088054723631</v>
      </c>
      <c r="Z9" s="57">
        <f>CHOOSE($E9,SUMPRODUCT((Z10:Z$65)*($M10:$M$65)*($C10:O$65=$B9)),IF(NOT(ISNUMBER(Data!S7)),0,ABS(($F9*100)-(Data!S7-$I9)*$K9)),ABS(($F9*100)-(Data!S7-$G9)*$K9))</f>
        <v>66.9838893382287</v>
      </c>
      <c r="AA9" s="57">
        <f>CHOOSE($E9,SUMPRODUCT((AA10:AA$65)*($M10:$M$65)*($C10:P$65=$B9)),IF(NOT(ISNUMBER(Data!T7)),0,ABS(($F9*100)-(Data!T7-$I9)*$K9)),ABS(($F9*100)-(Data!T7-$G9)*$K9))</f>
        <v>78.079401525147</v>
      </c>
      <c r="AB9" s="57">
        <f>CHOOSE($E9,SUMPRODUCT((AB10:AB$65)*($M10:$M$65)*($C10:Q$65=$B9)),IF(NOT(ISNUMBER(Data!U7)),0,ABS(($F9*100)-(Data!U7-$I9)*$K9)),ABS(($F9*100)-(Data!U7-$G9)*$K9))</f>
        <v>73.368035084796</v>
      </c>
      <c r="AC9" s="57">
        <f>CHOOSE($E9,SUMPRODUCT((AC10:AC$65)*($M10:$M$65)*($C10:R$65=$B9)),IF(NOT(ISNUMBER(Data!V7)),0,ABS(($F9*100)-(Data!V7-$I9)*$K9)),ABS(($F9*100)-(Data!V7-$G9)*$K9))</f>
        <v>78.9089145899817</v>
      </c>
      <c r="AD9" s="57">
        <f>CHOOSE($E9,SUMPRODUCT((AD10:AD$65)*($M10:$M$65)*($C10:S$65=$B9)),IF(NOT(ISNUMBER(Data!W7)),0,ABS(($F9*100)-(Data!W7-$I9)*$K9)),ABS(($F9*100)-(Data!W7-$G9)*$K9))</f>
        <v>78.6730664237822</v>
      </c>
      <c r="AE9" s="57">
        <f>CHOOSE($E9,SUMPRODUCT((AE10:AE$65)*($M10:$M$65)*($C10:T$65=$B9)),IF(NOT(ISNUMBER(Data!X7)),0,ABS(($F9*100)-(Data!X7-$I9)*$K9)),ABS(($F9*100)-(Data!X7-$G9)*$K9))</f>
        <v>77.2372180558709</v>
      </c>
      <c r="AF9" s="57">
        <f>CHOOSE($E9,SUMPRODUCT((AF10:AF$65)*($M10:$M$65)*($C10:U$65=$B9)),IF(NOT(ISNUMBER(Data!Y7)),0,ABS(($F9*100)-(Data!Y7-$I9)*$K9)),ABS(($F9*100)-(Data!Y7-$G9)*$K9))</f>
        <v>63.2528626718233</v>
      </c>
      <c r="AG9" s="57">
        <f>CHOOSE($E9,SUMPRODUCT((AG10:AG$65)*($M10:$M$65)*($C10:V$65=$B9)),IF(NOT(ISNUMBER(Data!Z7)),0,ABS(($F9*100)-(Data!Z7-$I9)*$K9)),ABS(($F9*100)-(Data!Z7-$G9)*$K9))</f>
        <v>65.9340432763879</v>
      </c>
      <c r="AH9" s="57">
        <f>CHOOSE($E9,SUMPRODUCT((AH10:AH$65)*($M10:$M$65)*($C10:W$65=$B9)),IF(NOT(ISNUMBER(Data!AA7)),0,ABS(($F9*100)-(Data!AA7-$I9)*$K9)),ABS(($F9*100)-(Data!AA7-$G9)*$K9))</f>
        <v>65.7629626994237</v>
      </c>
      <c r="AI9" s="57">
        <f>CHOOSE($E9,SUMPRODUCT((AI10:AI$65)*($M10:$M$65)*($C10:X$65=$B9)),IF(NOT(ISNUMBER(Data!AB7)),0,ABS(($F9*100)-(Data!AB7-$I9)*$K9)),ABS(($F9*100)-(Data!AB7-$G9)*$K9))</f>
        <v>62.7852828894655</v>
      </c>
      <c r="AJ9" s="57">
        <f>CHOOSE($E9,SUMPRODUCT((AJ10:AJ$65)*($M10:$M$65)*($C10:Y$65=$B9)),IF(NOT(ISNUMBER(Data!AC7)),0,ABS(($F9*100)-(Data!AC7-$I9)*$K9)),ABS(($F9*100)-(Data!AC7-$G9)*$K9))</f>
        <v>63.5454197307048</v>
      </c>
      <c r="AK9" s="57">
        <f>CHOOSE($E9,SUMPRODUCT((AK10:AK$65)*($M10:$M$65)*($C10:Z$65=$B9)),IF(NOT(ISNUMBER(Data!AD7)),0,ABS(($F9*100)-(Data!AD7-$I9)*$K9)),ABS(($F9*100)-(Data!AD7-$G9)*$K9))</f>
        <v>60.7201775945094</v>
      </c>
      <c r="AL9" s="57">
        <f>CHOOSE($E9,SUMPRODUCT((AL10:AL$65)*($M10:$M$65)*($C10:AA$65=$B9)),IF(NOT(ISNUMBER(Data!AE7)),0,ABS(($F9*100)-(Data!AE7-$I9)*$K9)),ABS(($F9*100)-(Data!AE7-$G9)*$K9))</f>
        <v>61.8760356126853</v>
      </c>
      <c r="AM9" s="57">
        <f>CHOOSE($E9,SUMPRODUCT((AM10:AM$65)*($M10:$M$65)*($C10:AB$65=$B9)),IF(NOT(ISNUMBER(Data!AF7)),0,ABS(($F9*100)-(Data!AF7-$I9)*$K9)),ABS(($F9*100)-(Data!AF7-$G9)*$K9))</f>
        <v>53.7117775072384</v>
      </c>
      <c r="AN9" s="57">
        <f>CHOOSE($E9,SUMPRODUCT((AN10:AN$65)*($M10:$M$65)*($C10:AC$65=$B9)),IF(NOT(ISNUMBER(Data!AG7)),0,ABS(($F9*100)-(Data!AG7-$I9)*$K9)),ABS(($F9*100)-(Data!AG7-$G9)*$K9))</f>
        <v>53.7812633332528</v>
      </c>
      <c r="AO9" s="57">
        <f>CHOOSE($E9,SUMPRODUCT((AO10:AO$65)*($M10:$M$65)*($C10:AD$65=$B9)),IF(NOT(ISNUMBER(Data!AH7)),0,ABS(($F9*100)-(Data!AH7-$I9)*$K9)),ABS(($F9*100)-(Data!AH7-$G9)*$K9))</f>
        <v>85.6348031581182</v>
      </c>
      <c r="AP9" s="57">
        <f>CHOOSE($E9,SUMPRODUCT((AP10:AP$65)*($M10:$M$65)*($C10:AE$65=$B9)),IF(NOT(ISNUMBER(Data!AI7)),0,ABS(($F9*100)-(Data!AI7-$I9)*$K9)),ABS(($F9*100)-(Data!AI7-$G9)*$K9))</f>
        <v>82.3644984420972</v>
      </c>
      <c r="AQ9" s="57">
        <f>CHOOSE($E9,SUMPRODUCT((AQ10:AQ$65)*($M10:$M$65)*($C10:AF$65=$B9)),IF(NOT(ISNUMBER(Data!AJ7)),0,ABS(($F9*100)-(Data!AJ7-$I9)*$K9)),ABS(($F9*100)-(Data!AJ7-$G9)*$K9))</f>
        <v>84.6106737937195</v>
      </c>
      <c r="AR9" s="57">
        <f>CHOOSE($E9,SUMPRODUCT((AR10:AR$65)*($M10:$M$65)*($C10:AG$65=$B9)),IF(NOT(ISNUMBER(Data!AK7)),0,ABS(($F9*100)-(Data!AK7-$I9)*$K9)),ABS(($F9*100)-(Data!AK7-$G9)*$K9))</f>
        <v>70.8950864621646</v>
      </c>
      <c r="AS9" s="57">
        <f>CHOOSE($E9,SUMPRODUCT((AS10:AS$65)*($M10:$M$65)*($C10:AH$65=$B9)),IF(NOT(ISNUMBER(Data!AL7)),0,ABS(($F9*100)-(Data!AL7-$I9)*$K9)),ABS(($F9*100)-(Data!AL7-$G9)*$K9))</f>
        <v>76.509699307323</v>
      </c>
      <c r="AT9" s="57">
        <f>CHOOSE($E9,SUMPRODUCT((AT10:AT$65)*($M10:$M$65)*($C10:AI$65=$B9)),IF(NOT(ISNUMBER(Data!AM7)),0,ABS(($F9*100)-(Data!AM7-$I9)*$K9)),ABS(($F9*100)-(Data!AM7-$G9)*$K9))</f>
        <v>62.6948378671823</v>
      </c>
      <c r="AU9" s="57">
        <f>CHOOSE($E9,SUMPRODUCT((AU10:AU$65)*($M10:$M$65)*($C10:AJ$65=$B9)),IF(NOT(ISNUMBER(Data!AN7)),0,ABS(($F9*100)-(Data!AN7-$I9)*$K9)),ABS(($F9*100)-(Data!AN7-$G9)*$K9))</f>
        <v>54.9303076774984</v>
      </c>
      <c r="AV9" s="57">
        <f>CHOOSE($E9,SUMPRODUCT((AV10:AV$65)*($M10:$M$65)*($C10:AK$65=$B9)),IF(NOT(ISNUMBER(Data!AO7)),0,ABS(($F9*100)-(Data!AO7-$I9)*$K9)),ABS(($F9*100)-(Data!AO7-$G9)*$K9))</f>
        <v>63.4729317595576</v>
      </c>
      <c r="AW9" s="57">
        <f>CHOOSE($E9,SUMPRODUCT((AW10:AW$65)*($M10:$M$65)*($C10:AL$65=$B9)),IF(NOT(ISNUMBER(Data!AP7)),0,ABS(($F9*100)-(Data!AP7-$I9)*$K9)),ABS(($F9*100)-(Data!AP7-$G9)*$K9))</f>
        <v>66.409356688844</v>
      </c>
      <c r="AX9" s="57">
        <f>CHOOSE($E9,SUMPRODUCT((AX10:AX$65)*($M10:$M$65)*($C10:AM$65=$B9)),IF(NOT(ISNUMBER(Data!AQ7)),0,ABS(($F9*100)-(Data!AQ7-$I9)*$K9)),ABS(($F9*100)-(Data!AQ7-$G9)*$K9))</f>
        <v>57.0926058964455</v>
      </c>
      <c r="AY9" s="57">
        <f>CHOOSE($E9,SUMPRODUCT((AY10:AY$65)*($M10:$M$65)*($C10:AN$65=$B9)),IF(NOT(ISNUMBER(Data!AR7)),0,ABS(($F9*100)-(Data!AR7-$I9)*$K9)),ABS(($F9*100)-(Data!AR7-$G9)*$K9))</f>
        <v>69.8279166548763</v>
      </c>
      <c r="AZ9" s="57">
        <f>CHOOSE($E9,SUMPRODUCT((AZ10:AZ$65)*($M10:$M$65)*($C10:AO$65=$B9)),IF(NOT(ISNUMBER(Data!AS7)),0,ABS(($F9*100)-(Data!AS7-$I9)*$K9)),ABS(($F9*100)-(Data!AS7-$G9)*$K9))</f>
        <v>71.7185558674324</v>
      </c>
      <c r="BA9" s="57">
        <f>CHOOSE($E9,SUMPRODUCT((BA10:BA$65)*($M10:$M$65)*($C10:AP$65=$B9)),IF(NOT(ISNUMBER(Data!AT7)),0,ABS(($F9*100)-(Data!AT7-$I9)*$K9)),ABS(($F9*100)-(Data!AT7-$G9)*$K9))</f>
        <v>71.2139359437925</v>
      </c>
      <c r="BB9" s="57">
        <f>CHOOSE($E9,SUMPRODUCT((BB10:BB$65)*($M10:$M$65)*($C10:AQ$65=$B9)),IF(NOT(ISNUMBER(Data!AU7)),0,ABS(($F9*100)-(Data!AU7-$I9)*$K9)),ABS(($F9*100)-(Data!AU7-$G9)*$K9))</f>
        <v>73.0466639667097</v>
      </c>
      <c r="BC9" s="57">
        <f>CHOOSE($E9,SUMPRODUCT((BC10:BC$65)*($M10:$M$65)*($C10:AR$65=$B9)),IF(NOT(ISNUMBER(Data!AV7)),0,ABS(($F9*100)-(Data!AV7-$I9)*$K9)),ABS(($F9*100)-(Data!AV7-$G9)*$K9))</f>
        <v>67.1275429348333</v>
      </c>
      <c r="BD9" s="57">
        <f>CHOOSE($E9,SUMPRODUCT((BD10:BD$65)*($M10:$M$65)*($C10:AS$65=$B9)),IF(NOT(ISNUMBER(Data!AW7)),0,ABS(($F9*100)-(Data!AW7-$I9)*$K9)),ABS(($F9*100)-(Data!AW7-$G9)*$K9))</f>
        <v>69.6372261244202</v>
      </c>
      <c r="BE9" s="57">
        <f>CHOOSE($E9,SUMPRODUCT((BE10:BE$65)*($M10:$M$65)*($C10:AT$65=$B9)),IF(NOT(ISNUMBER(Data!AX7)),0,ABS(($F9*100)-(Data!AX7-$I9)*$K9)),ABS(($F9*100)-(Data!AX7-$G9)*$K9))</f>
        <v>79.1866884803651</v>
      </c>
      <c r="BF9" s="57">
        <f>CHOOSE($E9,SUMPRODUCT((BF10:BF$65)*($M10:$M$65)*($C10:AU$65=$B9)),IF(NOT(ISNUMBER(Data!AY7)),0,ABS(($F9*100)-(Data!AY7-$I9)*$K9)),ABS(($F9*100)-(Data!AY7-$G9)*$K9))</f>
        <v>61.599379045244</v>
      </c>
      <c r="BG9" s="57">
        <f>CHOOSE($E9,SUMPRODUCT((BG10:BG$65)*($M10:$M$65)*($C10:AV$65=$B9)),IF(NOT(ISNUMBER(Data!AZ7)),0,ABS(($F9*100)-(Data!AZ7-$I9)*$K9)),ABS(($F9*100)-(Data!AZ7-$G9)*$K9))</f>
        <v>72.3508922717544</v>
      </c>
      <c r="BH9" s="57">
        <f>CHOOSE($E9,SUMPRODUCT((BH10:BH$65)*($M10:$M$65)*($C10:AW$65=$B9)),IF(NOT(ISNUMBER(Data!BA7)),0,ABS(($F9*100)-(Data!BA7-$I9)*$K9)),ABS(($F9*100)-(Data!BA7-$G9)*$K9))</f>
        <v>75.161481043546</v>
      </c>
      <c r="BI9" s="57">
        <f>CHOOSE($E9,SUMPRODUCT((BI10:BI$65)*($M10:$M$65)*($C10:AX$65=$B9)),IF(NOT(ISNUMBER(Data!BB7)),0,ABS(($F9*100)-(Data!BB7-$I9)*$K9)),ABS(($F9*100)-(Data!BB7-$G9)*$K9))</f>
        <v>78.8351411364153</v>
      </c>
      <c r="BJ9" s="57">
        <f>CHOOSE($E9,SUMPRODUCT((BJ10:BJ$65)*($M10:$M$65)*($C10:AY$65=$B9)),IF(NOT(ISNUMBER(Data!BC7)),0,ABS(($F9*100)-(Data!BC7-$I9)*$K9)),ABS(($F9*100)-(Data!BC7-$G9)*$K9))</f>
        <v>62.2515224513269</v>
      </c>
      <c r="BK9" s="57">
        <f>CHOOSE($E9,SUMPRODUCT((BK10:BK$65)*($M10:$M$65)*($C10:AZ$65=$B9)),IF(NOT(ISNUMBER(Data!BD7)),0,ABS(($F9*100)-(Data!BD7-$I9)*$K9)),ABS(($F9*100)-(Data!BD7-$G9)*$K9))</f>
        <v>73.8325300966831</v>
      </c>
      <c r="BM9" s="65"/>
    </row>
    <row r="10" spans="1:65">
      <c r="A10" s="24"/>
      <c r="B10" s="24" t="str">
        <f>tblIndicators!B3</f>
        <v>DIGSEC</v>
      </c>
      <c r="C10" s="24" t="str">
        <f>tblIndicators!C3</f>
        <v>TOTAL</v>
      </c>
      <c r="D10" s="52">
        <f>tblIndicators!D3</f>
        <v>1</v>
      </c>
      <c r="E10" s="52">
        <f>tblIndicators!M3</f>
        <v>1</v>
      </c>
      <c r="F10" s="52">
        <f>tblIndicators!N3</f>
        <v>0</v>
      </c>
      <c r="G10" s="52">
        <f>tblIndicators!Q3</f>
        <v>0</v>
      </c>
      <c r="H10" s="52">
        <f>tblIndicators!R3</f>
        <v>0</v>
      </c>
      <c r="I10" s="52" t="str">
        <f>IF($E10=2,MIN(Data!G8:BD8),"")</f>
        <v/>
      </c>
      <c r="J10" s="52" t="str">
        <f>IF($E10=2,MAX(Data!G8:BD8),"")</f>
        <v/>
      </c>
      <c r="K10" s="54" t="str">
        <f t="shared" ref="K10:K12" si="1">CHOOSE($E10,"",100/(J10-I10),100/(H10-G10))</f>
        <v/>
      </c>
      <c r="L10" s="55" t="str">
        <f>tblIndicators!Z3</f>
        <v>1) DIGITAL SECURITY</v>
      </c>
      <c r="M10" s="56">
        <f>tblIndicators!AC3</f>
        <v>0.25</v>
      </c>
      <c r="N10" s="57">
        <f>IF(N11=0,4,IF(uxbWorks!$E$9=1,N18/N11,CHOOSE($E10,SUMPRODUCT((N11:N$65)*($M11:$M$65)*($C11:C$65=$B10)),IF(NOT(ISNUMBER(Data!G8)),0,ABS(($F10*100)-(Data!G8-$I10)*$K10)),ABS(($F10*100)-(Data!G8-$G10)*$K10))))</f>
        <v>74.82</v>
      </c>
      <c r="O10" s="57">
        <f>IF(O11=0,4,IF(uxbWorks!$E$9=1,O18/O11,CHOOSE($E10,SUMPRODUCT((O11:O$65)*($M11:$M$65)*($C11:D$65=$B10)),IF(NOT(ISNUMBER(Data!H8)),0,ABS(($F10*100)-(Data!H8-$I10)*$K10)),ABS(($F10*100)-(Data!H8-$G10)*$K10))))</f>
        <v>52.9041095890411</v>
      </c>
      <c r="P10" s="57">
        <f>IF(P11=0,4,IF(uxbWorks!$E$9=1,P18/P11,CHOOSE($E10,SUMPRODUCT((P11:P$65)*($M11:$M$65)*($C11:E$65=$B10)),IF(NOT(ISNUMBER(Data!I8)),0,ABS(($F10*100)-(Data!I8-$I10)*$K10)),ABS(($F10*100)-(Data!I8-$G10)*$K10))))</f>
        <v>59.5848554033486</v>
      </c>
      <c r="Q10" s="57">
        <f>IF(Q11=0,4,IF(uxbWorks!$E$9=1,Q18/Q11,CHOOSE($E10,SUMPRODUCT((Q11:Q$65)*($M11:$M$65)*($C11:F$65=$B10)),IF(NOT(ISNUMBER(Data!J8)),0,ABS(($F10*100)-(Data!J8-$I10)*$K10)),ABS(($F10*100)-(Data!J8-$G10)*$K10))))</f>
        <v>54.9292237442922</v>
      </c>
      <c r="R10" s="57">
        <f>IF(R11=0,4,IF(uxbWorks!$E$9=1,R18/R11,CHOOSE($E10,SUMPRODUCT((R11:R$65)*($M11:$M$65)*($C11:G$65=$B10)),IF(NOT(ISNUMBER(Data!K8)),0,ABS(($F10*100)-(Data!K8-$I10)*$K10)),ABS(($F10*100)-(Data!K8-$G10)*$K10))))</f>
        <v>54.7389649923897</v>
      </c>
      <c r="S10" s="57">
        <f>IF(S11=0,4,IF(uxbWorks!$E$9=1,S18/S11,CHOOSE($E10,SUMPRODUCT((S11:S$65)*($M11:$M$65)*($C11:H$65=$B10)),IF(NOT(ISNUMBER(Data!L8)),0,ABS(($F10*100)-(Data!L8-$I10)*$K10)),ABS(($F10*100)-(Data!L8-$G10)*$K10))))</f>
        <v>74.9923896499239</v>
      </c>
      <c r="T10" s="57">
        <f>IF(T11=0,4,IF(uxbWorks!$E$9=1,T18/T11,CHOOSE($E10,SUMPRODUCT((T11:T$65)*($M11:$M$65)*($C11:I$65=$B10)),IF(NOT(ISNUMBER(Data!M8)),0,ABS(($F10*100)-(Data!M8-$I10)*$K10)),ABS(($F10*100)-(Data!M8-$G10)*$K10))))</f>
        <v>73.8508371385084</v>
      </c>
      <c r="U10" s="57">
        <f>IF(U11=0,4,IF(uxbWorks!$E$9=1,U18/U11,CHOOSE($E10,SUMPRODUCT((U11:U$65)*($M11:$M$65)*($C11:J$65=$B10)),IF(NOT(ISNUMBER(Data!N8)),0,ABS(($F10*100)-(Data!N8-$I10)*$K10)),ABS(($F10*100)-(Data!N8-$G10)*$K10))))</f>
        <v>72.041095890411</v>
      </c>
      <c r="V10" s="57">
        <f>IF(V11=0,4,IF(uxbWorks!$E$9=1,V18/V11,CHOOSE($E10,SUMPRODUCT((V11:V$65)*($M11:$M$65)*($C11:K$65=$B10)),IF(NOT(ISNUMBER(Data!O8)),0,ABS(($F10*100)-(Data!O8-$I10)*$K10)),ABS(($F10*100)-(Data!O8-$G10)*$K10))))</f>
        <v>72.041095890411</v>
      </c>
      <c r="W10" s="57">
        <f>IF(W11=0,4,IF(uxbWorks!$E$9=1,W18/W11,CHOOSE($E10,SUMPRODUCT((W11:W$65)*($M11:$M$65)*($C11:L$65=$B10)),IF(NOT(ISNUMBER(Data!P8)),0,ABS(($F10*100)-(Data!P8-$I10)*$K10)),ABS(($F10*100)-(Data!P8-$G10)*$K10))))</f>
        <v>72.8995433789954</v>
      </c>
      <c r="X10" s="57">
        <f>IF(X11=0,4,IF(uxbWorks!$E$9=1,X18/X11,CHOOSE($E10,SUMPRODUCT((X11:X$65)*($M11:$M$65)*($C11:M$65=$B10)),IF(NOT(ISNUMBER(Data!Q8)),0,ABS(($F10*100)-(Data!Q8-$I10)*$K10)),ABS(($F10*100)-(Data!Q8-$G10)*$K10))))</f>
        <v>61.691400304414</v>
      </c>
      <c r="Y10" s="57">
        <f>IF(Y11=0,4,IF(uxbWorks!$E$9=1,Y18/Y11,CHOOSE($E10,SUMPRODUCT((Y11:Y$65)*($M11:$M$65)*($C11:N$65=$B10)),IF(NOT(ISNUMBER(Data!R8)),0,ABS(($F10*100)-(Data!R8-$I10)*$K10)),ABS(($F10*100)-(Data!R8-$G10)*$K10))))</f>
        <v>55.0933333333333</v>
      </c>
      <c r="Z10" s="57">
        <f>IF(Z11=0,4,IF(uxbWorks!$E$9=1,Z18/Z11,CHOOSE($E10,SUMPRODUCT((Z11:Z$65)*($M11:$M$65)*($C11:O$65=$B10)),IF(NOT(ISNUMBER(Data!S8)),0,ABS(($F10*100)-(Data!S8-$I10)*$K10)),ABS(($F10*100)-(Data!S8-$G10)*$K10))))</f>
        <v>70.5106544901065</v>
      </c>
      <c r="AA10" s="57">
        <f>IF(AA11=0,4,IF(uxbWorks!$E$9=1,AA18/AA11,CHOOSE($E10,SUMPRODUCT((AA11:AA$65)*($M11:$M$65)*($C11:P$65=$B10)),IF(NOT(ISNUMBER(Data!T8)),0,ABS(($F10*100)-(Data!T8-$I10)*$K10)),ABS(($F10*100)-(Data!T8-$G10)*$K10))))</f>
        <v>79.4216133942161</v>
      </c>
      <c r="AB10" s="57">
        <f>IF(AB11=0,4,IF(uxbWorks!$E$9=1,AB18/AB11,CHOOSE($E10,SUMPRODUCT((AB11:AB$65)*($M11:$M$65)*($C11:Q$65=$B10)),IF(NOT(ISNUMBER(Data!U8)),0,ABS(($F10*100)-(Data!U8-$I10)*$K10)),ABS(($F10*100)-(Data!U8-$G10)*$K10))))</f>
        <v>69.9923896499239</v>
      </c>
      <c r="AC10" s="57">
        <f>IF(AC11=0,4,IF(uxbWorks!$E$9=1,AC18/AC11,CHOOSE($E10,SUMPRODUCT((AC11:AC$65)*($M11:$M$65)*($C11:R$65=$B10)),IF(NOT(ISNUMBER(Data!V8)),0,ABS(($F10*100)-(Data!V8-$I10)*$K10)),ABS(($F10*100)-(Data!V8-$G10)*$K10))))</f>
        <v>70.4802130898021</v>
      </c>
      <c r="AD10" s="57">
        <f>IF(AD11=0,4,IF(uxbWorks!$E$9=1,AD18/AD11,CHOOSE($E10,SUMPRODUCT((AD11:AD$65)*($M11:$M$65)*($C11:S$65=$B10)),IF(NOT(ISNUMBER(Data!W8)),0,ABS(($F10*100)-(Data!W8-$I10)*$K10)),ABS(($F10*100)-(Data!W8-$G10)*$K10))))</f>
        <v>65.4231354642314</v>
      </c>
      <c r="AE10" s="57">
        <f>IF(AE11=0,4,IF(uxbWorks!$E$9=1,AE18/AE11,CHOOSE($E10,SUMPRODUCT((AE11:AE$65)*($M11:$M$65)*($C11:T$65=$B10)),IF(NOT(ISNUMBER(Data!X8)),0,ABS(($F10*100)-(Data!X8-$I10)*$K10)),ABS(($F10*100)-(Data!X8-$G10)*$K10))))</f>
        <v>78.7846270928463</v>
      </c>
      <c r="AF10" s="57">
        <f>IF(AF11=0,4,IF(uxbWorks!$E$9=1,AF18/AF11,CHOOSE($E10,SUMPRODUCT((AF11:AF$65)*($M11:$M$65)*($C11:U$65=$B10)),IF(NOT(ISNUMBER(Data!Y8)),0,ABS(($F10*100)-(Data!Y8-$I10)*$K10)),ABS(($F10*100)-(Data!Y8-$G10)*$K10))))</f>
        <v>56.8668188736682</v>
      </c>
      <c r="AG10" s="57">
        <f>IF(AG11=0,4,IF(uxbWorks!$E$9=1,AG18/AG11,CHOOSE($E10,SUMPRODUCT((AG11:AG$65)*($M11:$M$65)*($C11:V$65=$B10)),IF(NOT(ISNUMBER(Data!Z8)),0,ABS(($F10*100)-(Data!Z8-$I10)*$K10)),ABS(($F10*100)-(Data!Z8-$G10)*$K10))))</f>
        <v>56.1438356164384</v>
      </c>
      <c r="AH10" s="57">
        <f>IF(AH11=0,4,IF(uxbWorks!$E$9=1,AH18/AH11,CHOOSE($E10,SUMPRODUCT((AH11:AH$65)*($M11:$M$65)*($C11:W$65=$B10)),IF(NOT(ISNUMBER(Data!AA8)),0,ABS(($F10*100)-(Data!AA8-$I10)*$K10)),ABS(($F10*100)-(Data!AA8-$G10)*$K10))))</f>
        <v>62.7420091324201</v>
      </c>
      <c r="AI10" s="57">
        <f>IF(AI11=0,4,IF(uxbWorks!$E$9=1,AI18/AI11,CHOOSE($E10,SUMPRODUCT((AI11:AI$65)*($M11:$M$65)*($C11:X$65=$B10)),IF(NOT(ISNUMBER(Data!AB8)),0,ABS(($F10*100)-(Data!AB8-$I10)*$K10)),ABS(($F10*100)-(Data!AB8-$G10)*$K10))))</f>
        <v>55.1354642313546</v>
      </c>
      <c r="AJ10" s="57">
        <f>IF(AJ11=0,4,IF(uxbWorks!$E$9=1,AJ18/AJ11,CHOOSE($E10,SUMPRODUCT((AJ11:AJ$65)*($M11:$M$65)*($C11:Y$65=$B10)),IF(NOT(ISNUMBER(Data!AC8)),0,ABS(($F10*100)-(Data!AC8-$I10)*$K10)),ABS(($F10*100)-(Data!AC8-$G10)*$K10))))</f>
        <v>54.2602739726027</v>
      </c>
      <c r="AK10" s="57">
        <f>IF(AK11=0,4,IF(uxbWorks!$E$9=1,AK18/AK11,CHOOSE($E10,SUMPRODUCT((AK11:AK$65)*($M11:$M$65)*($C11:Z$65=$B10)),IF(NOT(ISNUMBER(Data!AD8)),0,ABS(($F10*100)-(Data!AD8-$I10)*$K10)),ABS(($F10*100)-(Data!AD8-$G10)*$K10))))</f>
        <v>68.072298325723</v>
      </c>
      <c r="AL10" s="57">
        <f>IF(AL11=0,4,IF(uxbWorks!$E$9=1,AL18/AL11,CHOOSE($E10,SUMPRODUCT((AL11:AL$65)*($M11:$M$65)*($C11:AA$65=$B10)),IF(NOT(ISNUMBER(Data!AE8)),0,ABS(($F10*100)-(Data!AE8-$I10)*$K10)),ABS(($F10*100)-(Data!AE8-$G10)*$K10))))</f>
        <v>63.3291476407915</v>
      </c>
      <c r="AM10" s="57">
        <f>IF(AM11=0,4,IF(uxbWorks!$E$9=1,AM18/AM11,CHOOSE($E10,SUMPRODUCT((AM11:AM$65)*($M11:$M$65)*($C11:AB$65=$B10)),IF(NOT(ISNUMBER(Data!AF8)),0,ABS(($F10*100)-(Data!AF8-$I10)*$K10)),ABS(($F10*100)-(Data!AF8-$G10)*$K10))))</f>
        <v>48.4840182648402</v>
      </c>
      <c r="AN10" s="57">
        <f>IF(AN11=0,4,IF(uxbWorks!$E$9=1,AN18/AN11,CHOOSE($E10,SUMPRODUCT((AN11:AN$65)*($M11:$M$65)*($C11:AC$65=$B10)),IF(NOT(ISNUMBER(Data!AG8)),0,ABS(($F10*100)-(Data!AG8-$I10)*$K10)),ABS(($F10*100)-(Data!AG8-$G10)*$K10))))</f>
        <v>46.5768645357686</v>
      </c>
      <c r="AO10" s="57">
        <f>IF(AO11=0,4,IF(uxbWorks!$E$9=1,AO18/AO11,CHOOSE($E10,SUMPRODUCT((AO11:AO$65)*($M11:$M$65)*($C11:AD$65=$B10)),IF(NOT(ISNUMBER(Data!AH8)),0,ABS(($F10*100)-(Data!AH8-$I10)*$K10)),ABS(($F10*100)-(Data!AH8-$G10)*$K10))))</f>
        <v>87.1826484018265</v>
      </c>
      <c r="AP10" s="57">
        <f>IF(AP11=0,4,IF(uxbWorks!$E$9=1,AP18/AP11,CHOOSE($E10,SUMPRODUCT((AP11:AP$65)*($M11:$M$65)*($C11:AE$65=$B10)),IF(NOT(ISNUMBER(Data!AI8)),0,ABS(($F10*100)-(Data!AI8-$I10)*$K10)),ABS(($F10*100)-(Data!AI8-$G10)*$K10))))</f>
        <v>76.998097412481</v>
      </c>
      <c r="AQ10" s="57">
        <f>IF(AQ11=0,4,IF(uxbWorks!$E$9=1,AQ18/AQ11,CHOOSE($E10,SUMPRODUCT((AQ11:AQ$65)*($M11:$M$65)*($C11:AF$65=$B10)),IF(NOT(ISNUMBER(Data!AJ8)),0,ABS(($F10*100)-(Data!AJ8-$I10)*$K10)),ABS(($F10*100)-(Data!AJ8-$G10)*$K10))))</f>
        <v>83.8523592085236</v>
      </c>
      <c r="AR10" s="57">
        <f>IF(AR11=0,4,IF(uxbWorks!$E$9=1,AR18/AR11,CHOOSE($E10,SUMPRODUCT((AR11:AR$65)*($M11:$M$65)*($C11:AG$65=$B10)),IF(NOT(ISNUMBER(Data!AK8)),0,ABS(($F10*100)-(Data!AK8-$I10)*$K10)),ABS(($F10*100)-(Data!AK8-$G10)*$K10))))</f>
        <v>51.4596651445967</v>
      </c>
      <c r="AS10" s="57">
        <f>IF(AS11=0,4,IF(uxbWorks!$E$9=1,AS18/AS11,CHOOSE($E10,SUMPRODUCT((AS11:AS$65)*($M11:$M$65)*($C11:AH$65=$B10)),IF(NOT(ISNUMBER(Data!AL8)),0,ABS(($F10*100)-(Data!AL8-$I10)*$K10)),ABS(($F10*100)-(Data!AL8-$G10)*$K10))))</f>
        <v>65.1149162861492</v>
      </c>
      <c r="AT10" s="57">
        <f>IF(AT11=0,4,IF(uxbWorks!$E$9=1,AT18/AT11,CHOOSE($E10,SUMPRODUCT((AT11:AT$65)*($M11:$M$65)*($C11:AI$65=$B10)),IF(NOT(ISNUMBER(Data!AM8)),0,ABS(($F10*100)-(Data!AM8-$I10)*$K10)),ABS(($F10*100)-(Data!AM8-$G10)*$K10))))</f>
        <v>52.8645357686454</v>
      </c>
      <c r="AU10" s="57">
        <f>IF(AU11=0,4,IF(uxbWorks!$E$9=1,AU18/AU11,CHOOSE($E10,SUMPRODUCT((AU11:AU$65)*($M11:$M$65)*($C11:AJ$65=$B10)),IF(NOT(ISNUMBER(Data!AN8)),0,ABS(($F10*100)-(Data!AN8-$I10)*$K10)),ABS(($F10*100)-(Data!AN8-$G10)*$K10))))</f>
        <v>53.3097412480974</v>
      </c>
      <c r="AV10" s="57">
        <f>IF(AV11=0,4,IF(uxbWorks!$E$9=1,AV18/AV11,CHOOSE($E10,SUMPRODUCT((AV11:AV$65)*($M11:$M$65)*($C11:AK$65=$B10)),IF(NOT(ISNUMBER(Data!AO8)),0,ABS(($F10*100)-(Data!AO8-$I10)*$K10)),ABS(($F10*100)-(Data!AO8-$G10)*$K10))))</f>
        <v>64.2092846270928</v>
      </c>
      <c r="AW10" s="57">
        <f>IF(AW11=0,4,IF(uxbWorks!$E$9=1,AW18/AW11,CHOOSE($E10,SUMPRODUCT((AW11:AW$65)*($M11:$M$65)*($C11:AL$65=$B10)),IF(NOT(ISNUMBER(Data!AP8)),0,ABS(($F10*100)-(Data!AP8-$I10)*$K10)),ABS(($F10*100)-(Data!AP8-$G10)*$K10))))</f>
        <v>58.7313546423135</v>
      </c>
      <c r="AX10" s="57">
        <f>IF(AX11=0,4,IF(uxbWorks!$E$9=1,AX18/AX11,CHOOSE($E10,SUMPRODUCT((AX11:AX$65)*($M11:$M$65)*($C11:AM$65=$B10)),IF(NOT(ISNUMBER(Data!AQ8)),0,ABS(($F10*100)-(Data!AQ8-$I10)*$K10)),ABS(($F10*100)-(Data!AQ8-$G10)*$K10))))</f>
        <v>53.2564687975647</v>
      </c>
      <c r="AY10" s="57">
        <f>IF(AY11=0,4,IF(uxbWorks!$E$9=1,AY18/AY11,CHOOSE($E10,SUMPRODUCT((AY11:AY$65)*($M11:$M$65)*($C11:AN$65=$B10)),IF(NOT(ISNUMBER(Data!AR8)),0,ABS(($F10*100)-(Data!AR8-$I10)*$K10)),ABS(($F10*100)-(Data!AR8-$G10)*$K10))))</f>
        <v>73.7062404870624</v>
      </c>
      <c r="AZ10" s="57">
        <f>IF(AZ11=0,4,IF(uxbWorks!$E$9=1,AZ18/AZ11,CHOOSE($E10,SUMPRODUCT((AZ11:AZ$65)*($M11:$M$65)*($C11:AO$65=$B10)),IF(NOT(ISNUMBER(Data!AS8)),0,ABS(($F10*100)-(Data!AS8-$I10)*$K10)),ABS(($F10*100)-(Data!AS8-$G10)*$K10))))</f>
        <v>64.5970319634703</v>
      </c>
      <c r="BA10" s="57">
        <f>IF(BA11=0,4,IF(uxbWorks!$E$9=1,BA18/BA11,CHOOSE($E10,SUMPRODUCT((BA11:BA$65)*($M11:$M$65)*($C11:AP$65=$B10)),IF(NOT(ISNUMBER(Data!AT8)),0,ABS(($F10*100)-(Data!AT8-$I10)*$K10)),ABS(($F10*100)-(Data!AT8-$G10)*$K10))))</f>
        <v>58.3980213089802</v>
      </c>
      <c r="BB10" s="57">
        <f>IF(BB11=0,4,IF(uxbWorks!$E$9=1,BB18/BB11,CHOOSE($E10,SUMPRODUCT((BB11:BB$65)*($M11:$M$65)*($C11:AQ$65=$B10)),IF(NOT(ISNUMBER(Data!AU8)),0,ABS(($F10*100)-(Data!AU8-$I10)*$K10)),ABS(($F10*100)-(Data!AU8-$G10)*$K10))))</f>
        <v>57.4452054794521</v>
      </c>
      <c r="BC10" s="57">
        <f>IF(BC11=0,4,IF(uxbWorks!$E$9=1,BC18/BC11,CHOOSE($E10,SUMPRODUCT((BC11:BC$65)*($M11:$M$65)*($C11:AR$65=$B10)),IF(NOT(ISNUMBER(Data!AV8)),0,ABS(($F10*100)-(Data!AV8-$I10)*$K10)),ABS(($F10*100)-(Data!AV8-$G10)*$K10))))</f>
        <v>56.6651445966514</v>
      </c>
      <c r="BD10" s="57">
        <f>IF(BD11=0,4,IF(uxbWorks!$E$9=1,BD18/BD11,CHOOSE($E10,SUMPRODUCT((BD11:BD$65)*($M11:$M$65)*($C11:AS$65=$B10)),IF(NOT(ISNUMBER(Data!AW8)),0,ABS(($F10*100)-(Data!AW8-$I10)*$K10)),ABS(($F10*100)-(Data!AW8-$G10)*$K10))))</f>
        <v>62.6164383561644</v>
      </c>
      <c r="BE10" s="57">
        <f>IF(BE11=0,4,IF(uxbWorks!$E$9=1,BE18/BE11,CHOOSE($E10,SUMPRODUCT((BE11:BE$65)*($M11:$M$65)*($C11:AT$65=$B10)),IF(NOT(ISNUMBER(Data!AX8)),0,ABS(($F10*100)-(Data!AX8-$I10)*$K10)),ABS(($F10*100)-(Data!AX8-$G10)*$K10))))</f>
        <v>68.8144596651446</v>
      </c>
      <c r="BF10" s="57">
        <f>IF(BF11=0,4,IF(uxbWorks!$E$9=1,BF18/BF11,CHOOSE($E10,SUMPRODUCT((BF11:BF$65)*($M11:$M$65)*($C11:AU$65=$B10)),IF(NOT(ISNUMBER(Data!AY8)),0,ABS(($F10*100)-(Data!AY8-$I10)*$K10)),ABS(($F10*100)-(Data!AY8-$G10)*$K10))))</f>
        <v>51.5426179604262</v>
      </c>
      <c r="BG10" s="57">
        <f>IF(BG11=0,4,IF(uxbWorks!$E$9=1,BG18/BG11,CHOOSE($E10,SUMPRODUCT((BG11:BG$65)*($M11:$M$65)*($C11:AV$65=$B10)),IF(NOT(ISNUMBER(Data!AZ8)),0,ABS(($F10*100)-(Data!AZ8-$I10)*$K10)),ABS(($F10*100)-(Data!AZ8-$G10)*$K10))))</f>
        <v>60.7800608828006</v>
      </c>
      <c r="BH10" s="57">
        <f>IF(BH11=0,4,IF(uxbWorks!$E$9=1,BH18/BH11,CHOOSE($E10,SUMPRODUCT((BH11:BH$65)*($M11:$M$65)*($C11:AW$65=$B10)),IF(NOT(ISNUMBER(Data!BA8)),0,ABS(($F10*100)-(Data!BA8-$I10)*$K10)),ABS(($F10*100)-(Data!BA8-$G10)*$K10))))</f>
        <v>60.2853881278539</v>
      </c>
      <c r="BI10" s="57">
        <f>IF(BI11=0,4,IF(uxbWorks!$E$9=1,BI18/BI11,CHOOSE($E10,SUMPRODUCT((BI11:BI$65)*($M11:$M$65)*($C11:AX$65=$B10)),IF(NOT(ISNUMBER(Data!BB8)),0,ABS(($F10*100)-(Data!BB8-$I10)*$K10)),ABS(($F10*100)-(Data!BB8-$G10)*$K10))))</f>
        <v>67.0395738203957</v>
      </c>
      <c r="BJ10" s="57">
        <f>IF(BJ11=0,4,IF(uxbWorks!$E$9=1,BJ18/BJ11,CHOOSE($E10,SUMPRODUCT((BJ11:BJ$65)*($M11:$M$65)*($C11:AY$65=$B10)),IF(NOT(ISNUMBER(Data!BC8)),0,ABS(($F10*100)-(Data!BC8-$I10)*$K10)),ABS(($F10*100)-(Data!BC8-$G10)*$K10))))</f>
        <v>46.8295281582953</v>
      </c>
      <c r="BK10" s="57">
        <f>IF(BK11=0,4,IF(uxbWorks!$E$9=1,BK18/BK11,CHOOSE($E10,SUMPRODUCT((BK11:BK$65)*($M11:$M$65)*($C11:AZ$65=$B10)),IF(NOT(ISNUMBER(Data!BD8)),0,ABS(($F10*100)-(Data!BD8-$I10)*$K10)),ABS(($F10*100)-(Data!BD8-$G10)*$K10))))</f>
        <v>69.4200913242009</v>
      </c>
      <c r="BM10" s="65"/>
    </row>
    <row r="11" s="21" customFormat="1" spans="1:65">
      <c r="A11" s="30"/>
      <c r="B11" s="30" t="str">
        <f>tblIndicators!B4</f>
        <v>DIGSEC_IP</v>
      </c>
      <c r="C11" s="30" t="str">
        <f>tblIndicators!C4</f>
        <v>DIGSEC</v>
      </c>
      <c r="D11" s="53">
        <f>tblIndicators!D4</f>
        <v>2</v>
      </c>
      <c r="E11" s="53">
        <f>tblIndicators!M4</f>
        <v>1</v>
      </c>
      <c r="F11" s="53">
        <f>tblIndicators!N4</f>
        <v>0</v>
      </c>
      <c r="G11" s="53">
        <f>tblIndicators!Q4</f>
        <v>0</v>
      </c>
      <c r="H11" s="53">
        <f>tblIndicators!R4</f>
        <v>0</v>
      </c>
      <c r="I11" s="52" t="str">
        <f>IF($E11=2,MIN(Data!G9:BD9),"")</f>
        <v/>
      </c>
      <c r="J11" s="52" t="str">
        <f>IF($E11=2,MAX(Data!G9:BD9),"")</f>
        <v/>
      </c>
      <c r="K11" s="58" t="str">
        <f t="shared" si="1"/>
        <v/>
      </c>
      <c r="L11" s="59" t="str">
        <f>tblIndicators!Z4</f>
        <v>1.1) Digital Security (Inputs)</v>
      </c>
      <c r="M11" s="60">
        <f>tblIndicators!AC4</f>
        <v>0.5</v>
      </c>
      <c r="N11" s="61">
        <f>CHOOSE($E11,SUMPRODUCT((N12:N$65)*($M12:$M$65)*($C12:C$65=$B11)),IF(NOT(ISNUMBER(Data!G9)),0,ABS(($F11*100)-(Data!G9-$I11)*$K11)),ABS(($F11*100)-(Data!G9-$G11)*$K11))</f>
        <v>69.3333333333333</v>
      </c>
      <c r="O11" s="61">
        <f>CHOOSE($E11,SUMPRODUCT((O12:O$65)*($M12:$M$65)*($C12:D$65=$B11)),IF(NOT(ISNUMBER(Data!H9)),0,ABS(($F11*100)-(Data!H9-$I11)*$K11)),ABS(($F11*100)-(Data!H9-$G11)*$K11))</f>
        <v>45.6666666666667</v>
      </c>
      <c r="P11" s="61">
        <f>CHOOSE($E11,SUMPRODUCT((P12:P$65)*($M12:$M$65)*($C12:E$65=$B11)),IF(NOT(ISNUMBER(Data!I9)),0,ABS(($F11*100)-(Data!I9-$I11)*$K11)),ABS(($F11*100)-(Data!I9-$G11)*$K11))</f>
        <v>38.3333333333333</v>
      </c>
      <c r="Q11" s="61">
        <f>CHOOSE($E11,SUMPRODUCT((Q12:Q$65)*($M12:$M$65)*($C12:F$65=$B11)),IF(NOT(ISNUMBER(Data!J9)),0,ABS(($F11*100)-(Data!J9-$I11)*$K11)),ABS(($F11*100)-(Data!J9-$G11)*$K11))</f>
        <v>53.6666666666667</v>
      </c>
      <c r="R11" s="61">
        <f>CHOOSE($E11,SUMPRODUCT((R12:R$65)*($M12:$M$65)*($C12:G$65=$B11)),IF(NOT(ISNUMBER(Data!K9)),0,ABS(($F11*100)-(Data!K9-$I11)*$K11)),ABS(($F11*100)-(Data!K9-$G11)*$K11))</f>
        <v>53.6666666666667</v>
      </c>
      <c r="S11" s="61">
        <f>CHOOSE($E11,SUMPRODUCT((S12:S$65)*($M12:$M$65)*($C12:H$65=$B11)),IF(NOT(ISNUMBER(Data!L9)),0,ABS(($F11*100)-(Data!L9-$I11)*$K11)),ABS(($F11*100)-(Data!L9-$G11)*$K11))</f>
        <v>75.3333333333333</v>
      </c>
      <c r="T11" s="61">
        <f>CHOOSE($E11,SUMPRODUCT((T12:T$65)*($M12:$M$65)*($C12:I$65=$B11)),IF(NOT(ISNUMBER(Data!M9)),0,ABS(($F11*100)-(Data!M9-$I11)*$K11)),ABS(($F11*100)-(Data!M9-$G11)*$K11))</f>
        <v>75.3333333333333</v>
      </c>
      <c r="U11" s="61">
        <f>CHOOSE($E11,SUMPRODUCT((U12:U$65)*($M12:$M$65)*($C12:J$65=$B11)),IF(NOT(ISNUMBER(Data!N9)),0,ABS(($F11*100)-(Data!N9-$I11)*$K11)),ABS(($F11*100)-(Data!N9-$G11)*$K11))</f>
        <v>71.3333333333333</v>
      </c>
      <c r="V11" s="61">
        <f>CHOOSE($E11,SUMPRODUCT((V12:V$65)*($M12:$M$65)*($C12:K$65=$B11)),IF(NOT(ISNUMBER(Data!O9)),0,ABS(($F11*100)-(Data!O9-$I11)*$K11)),ABS(($F11*100)-(Data!O9-$G11)*$K11))</f>
        <v>71.3333333333333</v>
      </c>
      <c r="W11" s="61">
        <f>CHOOSE($E11,SUMPRODUCT((W12:W$65)*($M12:$M$65)*($C12:L$65=$B11)),IF(NOT(ISNUMBER(Data!P9)),0,ABS(($F11*100)-(Data!P9-$I11)*$K11)),ABS(($F11*100)-(Data!P9-$G11)*$K11))</f>
        <v>75.3333333333333</v>
      </c>
      <c r="X11" s="61">
        <f>CHOOSE($E11,SUMPRODUCT((X12:X$65)*($M12:$M$65)*($C12:M$65=$B11)),IF(NOT(ISNUMBER(Data!Q9)),0,ABS(($F11*100)-(Data!Q9-$I11)*$K11)),ABS(($F11*100)-(Data!Q9-$G11)*$K11))</f>
        <v>56.3333333333333</v>
      </c>
      <c r="Y11" s="61">
        <f>CHOOSE($E11,SUMPRODUCT((Y12:Y$65)*($M12:$M$65)*($C12:N$65=$B11)),IF(NOT(ISNUMBER(Data!R9)),0,ABS(($F11*100)-(Data!R9-$I11)*$K11)),ABS(($F11*100)-(Data!R9-$G11)*$K11))</f>
        <v>60.3333333333333</v>
      </c>
      <c r="Z11" s="61">
        <f>CHOOSE($E11,SUMPRODUCT((Z12:Z$65)*($M12:$M$65)*($C12:O$65=$B11)),IF(NOT(ISNUMBER(Data!S9)),0,ABS(($F11*100)-(Data!S9-$I11)*$K11)),ABS(($F11*100)-(Data!S9-$G11)*$K11))</f>
        <v>60.3333333333333</v>
      </c>
      <c r="AA11" s="61">
        <f>CHOOSE($E11,SUMPRODUCT((AA12:AA$65)*($M12:$M$65)*($C12:P$65=$B11)),IF(NOT(ISNUMBER(Data!T9)),0,ABS(($F11*100)-(Data!T9-$I11)*$K11)),ABS(($F11*100)-(Data!T9-$G11)*$K11))</f>
        <v>85.3333333333333</v>
      </c>
      <c r="AB11" s="61">
        <f>CHOOSE($E11,SUMPRODUCT((AB12:AB$65)*($M12:$M$65)*($C12:Q$65=$B11)),IF(NOT(ISNUMBER(Data!U9)),0,ABS(($F11*100)-(Data!U9-$I11)*$K11)),ABS(($F11*100)-(Data!U9-$G11)*$K11))</f>
        <v>65.3333333333333</v>
      </c>
      <c r="AC11" s="61">
        <f>CHOOSE($E11,SUMPRODUCT((AC12:AC$65)*($M12:$M$65)*($C12:R$65=$B11)),IF(NOT(ISNUMBER(Data!V9)),0,ABS(($F11*100)-(Data!V9-$I11)*$K11)),ABS(($F11*100)-(Data!V9-$G11)*$K11))</f>
        <v>71.3333333333333</v>
      </c>
      <c r="AD11" s="61">
        <f>CHOOSE($E11,SUMPRODUCT((AD12:AD$65)*($M12:$M$65)*($C12:S$65=$B11)),IF(NOT(ISNUMBER(Data!W9)),0,ABS(($F11*100)-(Data!W9-$I11)*$K11)),ABS(($F11*100)-(Data!W9-$G11)*$K11))</f>
        <v>61.3333333333333</v>
      </c>
      <c r="AE11" s="61">
        <f>CHOOSE($E11,SUMPRODUCT((AE12:AE$65)*($M12:$M$65)*($C12:T$65=$B11)),IF(NOT(ISNUMBER(Data!X9)),0,ABS(($F11*100)-(Data!X9-$I11)*$K11)),ABS(($F11*100)-(Data!X9-$G11)*$K11))</f>
        <v>81.3333333333333</v>
      </c>
      <c r="AF11" s="61">
        <f>CHOOSE($E11,SUMPRODUCT((AF12:AF$65)*($M12:$M$65)*($C12:U$65=$B11)),IF(NOT(ISNUMBER(Data!Y9)),0,ABS(($F11*100)-(Data!Y9-$I11)*$K11)),ABS(($F11*100)-(Data!Y9-$G11)*$K11))</f>
        <v>57.6666666666667</v>
      </c>
      <c r="AG11" s="61">
        <f>CHOOSE($E11,SUMPRODUCT((AG12:AG$65)*($M12:$M$65)*($C12:V$65=$B11)),IF(NOT(ISNUMBER(Data!Z9)),0,ABS(($F11*100)-(Data!Z9-$I11)*$K11)),ABS(($F11*100)-(Data!Z9-$G11)*$K11))</f>
        <v>57.6666666666667</v>
      </c>
      <c r="AH11" s="61">
        <f>CHOOSE($E11,SUMPRODUCT((AH12:AH$65)*($M12:$M$65)*($C12:W$65=$B11)),IF(NOT(ISNUMBER(Data!AA9)),0,ABS(($F11*100)-(Data!AA9-$I11)*$K11)),ABS(($F11*100)-(Data!AA9-$G11)*$K11))</f>
        <v>67.6666666666667</v>
      </c>
      <c r="AI11" s="61">
        <f>CHOOSE($E11,SUMPRODUCT((AI12:AI$65)*($M12:$M$65)*($C12:X$65=$B11)),IF(NOT(ISNUMBER(Data!AB9)),0,ABS(($F11*100)-(Data!AB9-$I11)*$K11)),ABS(($F11*100)-(Data!AB9-$G11)*$K11))</f>
        <v>57.6666666666667</v>
      </c>
      <c r="AJ11" s="61">
        <f>CHOOSE($E11,SUMPRODUCT((AJ12:AJ$65)*($M12:$M$65)*($C12:Y$65=$B11)),IF(NOT(ISNUMBER(Data!AC9)),0,ABS(($F11*100)-(Data!AC9-$I11)*$K11)),ABS(($F11*100)-(Data!AC9-$G11)*$K11))</f>
        <v>57.6666666666667</v>
      </c>
      <c r="AK11" s="61">
        <f>CHOOSE($E11,SUMPRODUCT((AK12:AK$65)*($M12:$M$65)*($C12:Z$65=$B11)),IF(NOT(ISNUMBER(Data!AD9)),0,ABS(($F11*100)-(Data!AD9-$I11)*$K11)),ABS(($F11*100)-(Data!AD9-$G11)*$K11))</f>
        <v>87</v>
      </c>
      <c r="AL11" s="61">
        <f>CHOOSE($E11,SUMPRODUCT((AL12:AL$65)*($M12:$M$65)*($C12:AA$65=$B11)),IF(NOT(ISNUMBER(Data!AE9)),0,ABS(($F11*100)-(Data!AE9-$I11)*$K11)),ABS(($F11*100)-(Data!AE9-$G11)*$K11))</f>
        <v>77</v>
      </c>
      <c r="AM11" s="61">
        <f>CHOOSE($E11,SUMPRODUCT((AM12:AM$65)*($M12:$M$65)*($C12:AB$65=$B11)),IF(NOT(ISNUMBER(Data!AF9)),0,ABS(($F11*100)-(Data!AF9-$I11)*$K11)),ABS(($F11*100)-(Data!AF9-$G11)*$K11))</f>
        <v>50.3333333333333</v>
      </c>
      <c r="AN11" s="61">
        <f>CHOOSE($E11,SUMPRODUCT((AN12:AN$65)*($M12:$M$65)*($C12:AC$65=$B11)),IF(NOT(ISNUMBER(Data!AG9)),0,ABS(($F11*100)-(Data!AG9-$I11)*$K11)),ABS(($F11*100)-(Data!AG9-$G11)*$K11))</f>
        <v>36</v>
      </c>
      <c r="AO11" s="61">
        <f>CHOOSE($E11,SUMPRODUCT((AO12:AO$65)*($M12:$M$65)*($C12:AD$65=$B11)),IF(NOT(ISNUMBER(Data!AH9)),0,ABS(($F11*100)-(Data!AH9-$I11)*$K11)),ABS(($F11*100)-(Data!AH9-$G11)*$K11))</f>
        <v>78.6666666666667</v>
      </c>
      <c r="AP11" s="61">
        <f>CHOOSE($E11,SUMPRODUCT((AP12:AP$65)*($M12:$M$65)*($C12:AE$65=$B11)),IF(NOT(ISNUMBER(Data!AI9)),0,ABS(($F11*100)-(Data!AI9-$I11)*$K11)),ABS(($F11*100)-(Data!AI9-$G11)*$K11))</f>
        <v>58.6666666666667</v>
      </c>
      <c r="AQ11" s="61">
        <f>CHOOSE($E11,SUMPRODUCT((AQ12:AQ$65)*($M12:$M$65)*($C12:AF$65=$B11)),IF(NOT(ISNUMBER(Data!AJ9)),0,ABS(($F11*100)-(Data!AJ9-$I11)*$K11)),ABS(($F11*100)-(Data!AJ9-$G11)*$K11))</f>
        <v>85.3333333333333</v>
      </c>
      <c r="AR11" s="61">
        <f>CHOOSE($E11,SUMPRODUCT((AR12:AR$65)*($M12:$M$65)*($C12:AG$65=$B11)),IF(NOT(ISNUMBER(Data!AK9)),0,ABS(($F11*100)-(Data!AK9-$I11)*$K11)),ABS(($F11*100)-(Data!AK9-$G11)*$K11))</f>
        <v>57.3333333333333</v>
      </c>
      <c r="AS11" s="61">
        <f>CHOOSE($E11,SUMPRODUCT((AS12:AS$65)*($M12:$M$65)*($C12:AH$65=$B11)),IF(NOT(ISNUMBER(Data!AL9)),0,ABS(($F11*100)-(Data!AL9-$I11)*$K11)),ABS(($F11*100)-(Data!AL9-$G11)*$K11))</f>
        <v>48.6666666666667</v>
      </c>
      <c r="AT11" s="61">
        <f>CHOOSE($E11,SUMPRODUCT((AT12:AT$65)*($M12:$M$65)*($C12:AI$65=$B11)),IF(NOT(ISNUMBER(Data!AM9)),0,ABS(($F11*100)-(Data!AM9-$I11)*$K11)),ABS(($F11*100)-(Data!AM9-$G11)*$K11))</f>
        <v>57.6666666666667</v>
      </c>
      <c r="AU11" s="61">
        <f>CHOOSE($E11,SUMPRODUCT((AU12:AU$65)*($M12:$M$65)*($C12:AJ$65=$B11)),IF(NOT(ISNUMBER(Data!AN9)),0,ABS(($F11*100)-(Data!AN9-$I11)*$K11)),ABS(($F11*100)-(Data!AN9-$G11)*$K11))</f>
        <v>57.6666666666667</v>
      </c>
      <c r="AV11" s="61">
        <f>CHOOSE($E11,SUMPRODUCT((AV12:AV$65)*($M12:$M$65)*($C12:AK$65=$B11)),IF(NOT(ISNUMBER(Data!AO9)),0,ABS(($F11*100)-(Data!AO9-$I11)*$K11)),ABS(($F11*100)-(Data!AO9-$G11)*$K11))</f>
        <v>53.6666666666667</v>
      </c>
      <c r="AW11" s="61">
        <f>CHOOSE($E11,SUMPRODUCT((AW12:AW$65)*($M12:$M$65)*($C12:AL$65=$B11)),IF(NOT(ISNUMBER(Data!AP9)),0,ABS(($F11*100)-(Data!AP9-$I11)*$K11)),ABS(($F11*100)-(Data!AP9-$G11)*$K11))</f>
        <v>39.6666666666667</v>
      </c>
      <c r="AX11" s="61">
        <f>CHOOSE($E11,SUMPRODUCT((AX12:AX$65)*($M12:$M$65)*($C12:AM$65=$B11)),IF(NOT(ISNUMBER(Data!AQ9)),0,ABS(($F11*100)-(Data!AQ9-$I11)*$K11)),ABS(($F11*100)-(Data!AQ9-$G11)*$K11))</f>
        <v>53.6666666666667</v>
      </c>
      <c r="AY11" s="61">
        <f>CHOOSE($E11,SUMPRODUCT((AY12:AY$65)*($M12:$M$65)*($C12:AN$65=$B11)),IF(NOT(ISNUMBER(Data!AR9)),0,ABS(($F11*100)-(Data!AR9-$I11)*$K11)),ABS(($F11*100)-(Data!AR9-$G11)*$K11))</f>
        <v>67.3333333333333</v>
      </c>
      <c r="AZ11" s="61">
        <f>CHOOSE($E11,SUMPRODUCT((AZ12:AZ$65)*($M12:$M$65)*($C12:AO$65=$B11)),IF(NOT(ISNUMBER(Data!AS9)),0,ABS(($F11*100)-(Data!AS9-$I11)*$K11)),ABS(($F11*100)-(Data!AS9-$G11)*$K11))</f>
        <v>53.3333333333333</v>
      </c>
      <c r="BA11" s="61">
        <f>CHOOSE($E11,SUMPRODUCT((BA12:BA$65)*($M12:$M$65)*($C12:AP$65=$B11)),IF(NOT(ISNUMBER(Data!AT9)),0,ABS(($F11*100)-(Data!AT9-$I11)*$K11)),ABS(($F11*100)-(Data!AT9-$G11)*$K11))</f>
        <v>48</v>
      </c>
      <c r="BB11" s="61">
        <f>CHOOSE($E11,SUMPRODUCT((BB12:BB$65)*($M12:$M$65)*($C12:AQ$65=$B11)),IF(NOT(ISNUMBER(Data!AU9)),0,ABS(($F11*100)-(Data!AU9-$I11)*$K11)),ABS(($F11*100)-(Data!AU9-$G11)*$K11))</f>
        <v>50.6666666666667</v>
      </c>
      <c r="BC11" s="61">
        <f>CHOOSE($E11,SUMPRODUCT((BC12:BC$65)*($M12:$M$65)*($C12:AR$65=$B11)),IF(NOT(ISNUMBER(Data!AV9)),0,ABS(($F11*100)-(Data!AV9-$I11)*$K11)),ABS(($F11*100)-(Data!AV9-$G11)*$K11))</f>
        <v>44</v>
      </c>
      <c r="BD11" s="61">
        <f>CHOOSE($E11,SUMPRODUCT((BD12:BD$65)*($M12:$M$65)*($C12:AS$65=$B11)),IF(NOT(ISNUMBER(Data!AW9)),0,ABS(($F11*100)-(Data!AW9-$I11)*$K11)),ABS(($F11*100)-(Data!AW9-$G11)*$K11))</f>
        <v>54</v>
      </c>
      <c r="BE11" s="61">
        <f>CHOOSE($E11,SUMPRODUCT((BE12:BE$65)*($M12:$M$65)*($C12:AT$65=$B11)),IF(NOT(ISNUMBER(Data!AX9)),0,ABS(($F11*100)-(Data!AX9-$I11)*$K11)),ABS(($F11*100)-(Data!AX9-$G11)*$K11))</f>
        <v>46.6666666666667</v>
      </c>
      <c r="BF11" s="61">
        <f>CHOOSE($E11,SUMPRODUCT((BF12:BF$65)*($M12:$M$65)*($C12:AU$65=$B11)),IF(NOT(ISNUMBER(Data!AY9)),0,ABS(($F11*100)-(Data!AY9-$I11)*$K11)),ABS(($F11*100)-(Data!AY9-$G11)*$K11))</f>
        <v>53.6666666666667</v>
      </c>
      <c r="BG11" s="61">
        <f>CHOOSE($E11,SUMPRODUCT((BG12:BG$65)*($M12:$M$65)*($C12:AV$65=$B11)),IF(NOT(ISNUMBER(Data!AZ9)),0,ABS(($F11*100)-(Data!AZ9-$I11)*$K11)),ABS(($F11*100)-(Data!AZ9-$G11)*$K11))</f>
        <v>61.3333333333333</v>
      </c>
      <c r="BH11" s="61">
        <f>CHOOSE($E11,SUMPRODUCT((BH12:BH$65)*($M12:$M$65)*($C12:AW$65=$B11)),IF(NOT(ISNUMBER(Data!BA9)),0,ABS(($F11*100)-(Data!BA9-$I11)*$K11)),ABS(($F11*100)-(Data!BA9-$G11)*$K11))</f>
        <v>61.3333333333333</v>
      </c>
      <c r="BI11" s="61">
        <f>CHOOSE($E11,SUMPRODUCT((BI12:BI$65)*($M12:$M$65)*($C12:AX$65=$B11)),IF(NOT(ISNUMBER(Data!BB9)),0,ABS(($F11*100)-(Data!BB9-$I11)*$K11)),ABS(($F11*100)-(Data!BB9-$G11)*$K11))</f>
        <v>54.6666666666667</v>
      </c>
      <c r="BJ11" s="61">
        <f>CHOOSE($E11,SUMPRODUCT((BJ12:BJ$65)*($M12:$M$65)*($C12:AY$65=$B11)),IF(NOT(ISNUMBER(Data!BC9)),0,ABS(($F11*100)-(Data!BC9-$I11)*$K11)),ABS(($F11*100)-(Data!BC9-$G11)*$K11))</f>
        <v>43.6666666666667</v>
      </c>
      <c r="BK11" s="61">
        <f>CHOOSE($E11,SUMPRODUCT((BK12:BK$65)*($M12:$M$65)*($C12:AZ$65=$B11)),IF(NOT(ISNUMBER(Data!BD9)),0,ABS(($F11*100)-(Data!BD9-$I11)*$K11)),ABS(($F11*100)-(Data!BD9-$G11)*$K11))</f>
        <v>61.3333333333333</v>
      </c>
      <c r="BM11" s="65"/>
    </row>
    <row r="12" s="22" customFormat="1" spans="1:65">
      <c r="A12" s="24"/>
      <c r="B12" s="24" t="str">
        <f>tblIndicators!B5</f>
        <v>DIGSEC_IP_01</v>
      </c>
      <c r="C12" s="24" t="str">
        <f>tblIndicators!C5</f>
        <v>DIGSEC_IP</v>
      </c>
      <c r="D12" s="52">
        <f>tblIndicators!D5</f>
        <v>3</v>
      </c>
      <c r="E12" s="52">
        <f>tblIndicators!M5</f>
        <v>3</v>
      </c>
      <c r="F12" s="52">
        <f>tblIndicators!N5</f>
        <v>1</v>
      </c>
      <c r="G12" s="52">
        <f>tblIndicators!Q5</f>
        <v>0</v>
      </c>
      <c r="H12" s="52">
        <f>tblIndicators!R5</f>
        <v>5</v>
      </c>
      <c r="I12" s="52" t="str">
        <f>IF($E12=2,MIN(Data!G10:BD10),"")</f>
        <v/>
      </c>
      <c r="J12" s="52" t="str">
        <f>IF($E12=2,MAX(Data!G10:BD10),"")</f>
        <v/>
      </c>
      <c r="K12" s="54">
        <f t="shared" si="1"/>
        <v>20</v>
      </c>
      <c r="L12" s="62" t="str">
        <f>tblIndicators!Z5</f>
        <v>1.1.1) Privacy policy</v>
      </c>
      <c r="M12" s="63">
        <f>tblIndicators!AC5</f>
        <v>0.2</v>
      </c>
      <c r="N12" s="64">
        <f>CHOOSE($E12,SUMPRODUCT((N13:N$65)*($M13:$M$65)*($C13:C$65=$B12)),IF(NOT(ISNUMBER(Data!G10)),0,ABS(($F12*100)-(Data!G10-$I12)*$K12)),ABS(($F12*100)-(Data!G10-$G12)*$K12))</f>
        <v>80</v>
      </c>
      <c r="O12" s="64">
        <f>CHOOSE($E12,SUMPRODUCT((O13:O$65)*($M13:$M$65)*($C13:D$65=$B12)),IF(NOT(ISNUMBER(Data!H10)),0,ABS(($F12*100)-(Data!H10-$I12)*$K12)),ABS(($F12*100)-(Data!H10-$G12)*$K12))</f>
        <v>20</v>
      </c>
      <c r="P12" s="64">
        <f>CHOOSE($E12,SUMPRODUCT((P13:P$65)*($M13:$M$65)*($C13:E$65=$B12)),IF(NOT(ISNUMBER(Data!I10)),0,ABS(($F12*100)-(Data!I10-$I12)*$K12)),ABS(($F12*100)-(Data!I10-$G12)*$K12))</f>
        <v>0</v>
      </c>
      <c r="Q12" s="64">
        <f>CHOOSE($E12,SUMPRODUCT((Q13:Q$65)*($M13:$M$65)*($C13:F$65=$B12)),IF(NOT(ISNUMBER(Data!J10)),0,ABS(($F12*100)-(Data!J10-$I12)*$K12)),ABS(($F12*100)-(Data!J10-$G12)*$K12))</f>
        <v>60</v>
      </c>
      <c r="R12" s="64">
        <f>CHOOSE($E12,SUMPRODUCT((R13:R$65)*($M13:$M$65)*($C13:G$65=$B12)),IF(NOT(ISNUMBER(Data!K10)),0,ABS(($F12*100)-(Data!K10-$I12)*$K12)),ABS(($F12*100)-(Data!K10-$G12)*$K12))</f>
        <v>60</v>
      </c>
      <c r="S12" s="64">
        <f>CHOOSE($E12,SUMPRODUCT((S13:S$65)*($M13:$M$65)*($C13:H$65=$B12)),IF(NOT(ISNUMBER(Data!L10)),0,ABS(($F12*100)-(Data!L10-$I12)*$K12)),ABS(($F12*100)-(Data!L10-$G12)*$K12))</f>
        <v>60</v>
      </c>
      <c r="T12" s="64">
        <f>CHOOSE($E12,SUMPRODUCT((T13:T$65)*($M13:$M$65)*($C13:I$65=$B12)),IF(NOT(ISNUMBER(Data!M10)),0,ABS(($F12*100)-(Data!M10-$I12)*$K12)),ABS(($F12*100)-(Data!M10-$G12)*$K12))</f>
        <v>60</v>
      </c>
      <c r="U12" s="64">
        <f>CHOOSE($E12,SUMPRODUCT((U13:U$65)*($M13:$M$65)*($C13:J$65=$B12)),IF(NOT(ISNUMBER(Data!N10)),0,ABS(($F12*100)-(Data!N10-$I12)*$K12)),ABS(($F12*100)-(Data!N10-$G12)*$K12))</f>
        <v>40</v>
      </c>
      <c r="V12" s="64">
        <f>CHOOSE($E12,SUMPRODUCT((V13:V$65)*($M13:$M$65)*($C13:K$65=$B12)),IF(NOT(ISNUMBER(Data!O10)),0,ABS(($F12*100)-(Data!O10-$I12)*$K12)),ABS(($F12*100)-(Data!O10-$G12)*$K12))</f>
        <v>40</v>
      </c>
      <c r="W12" s="64">
        <f>CHOOSE($E12,SUMPRODUCT((W13:W$65)*($M13:$M$65)*($C13:L$65=$B12)),IF(NOT(ISNUMBER(Data!P10)),0,ABS(($F12*100)-(Data!P10-$I12)*$K12)),ABS(($F12*100)-(Data!P10-$G12)*$K12))</f>
        <v>60</v>
      </c>
      <c r="X12" s="64">
        <f>CHOOSE($E12,SUMPRODUCT((X13:X$65)*($M13:$M$65)*($C13:M$65=$B12)),IF(NOT(ISNUMBER(Data!Q10)),0,ABS(($F12*100)-(Data!Q10-$I12)*$K12)),ABS(($F12*100)-(Data!Q10-$G12)*$K12))</f>
        <v>40</v>
      </c>
      <c r="Y12" s="64">
        <f>CHOOSE($E12,SUMPRODUCT((Y13:Y$65)*($M13:$M$65)*($C13:N$65=$B12)),IF(NOT(ISNUMBER(Data!R10)),0,ABS(($F12*100)-(Data!R10-$I12)*$K12)),ABS(($F12*100)-(Data!R10-$G12)*$K12))</f>
        <v>60</v>
      </c>
      <c r="Z12" s="64">
        <f>CHOOSE($E12,SUMPRODUCT((Z13:Z$65)*($M13:$M$65)*($C13:O$65=$B12)),IF(NOT(ISNUMBER(Data!S10)),0,ABS(($F12*100)-(Data!S10-$I12)*$K12)),ABS(($F12*100)-(Data!S10-$G12)*$K12))</f>
        <v>60</v>
      </c>
      <c r="AA12" s="64">
        <f>CHOOSE($E12,SUMPRODUCT((AA13:AA$65)*($M13:$M$65)*($C13:P$65=$B12)),IF(NOT(ISNUMBER(Data!T10)),0,ABS(($F12*100)-(Data!T10-$I12)*$K12)),ABS(($F12*100)-(Data!T10-$G12)*$K12))</f>
        <v>60</v>
      </c>
      <c r="AB12" s="64">
        <f>CHOOSE($E12,SUMPRODUCT((AB13:AB$65)*($M13:$M$65)*($C13:Q$65=$B12)),IF(NOT(ISNUMBER(Data!U10)),0,ABS(($F12*100)-(Data!U10-$I12)*$K12)),ABS(($F12*100)-(Data!U10-$G12)*$K12))</f>
        <v>60</v>
      </c>
      <c r="AC12" s="64">
        <f>CHOOSE($E12,SUMPRODUCT((AC13:AC$65)*($M13:$M$65)*($C13:R$65=$B12)),IF(NOT(ISNUMBER(Data!V10)),0,ABS(($F12*100)-(Data!V10-$I12)*$K12)),ABS(($F12*100)-(Data!V10-$G12)*$K12))</f>
        <v>40</v>
      </c>
      <c r="AD12" s="64">
        <f>CHOOSE($E12,SUMPRODUCT((AD13:AD$65)*($M13:$M$65)*($C13:S$65=$B12)),IF(NOT(ISNUMBER(Data!W10)),0,ABS(($F12*100)-(Data!W10-$I12)*$K12)),ABS(($F12*100)-(Data!W10-$G12)*$K12))</f>
        <v>40</v>
      </c>
      <c r="AE12" s="64">
        <f>CHOOSE($E12,SUMPRODUCT((AE13:AE$65)*($M13:$M$65)*($C13:T$65=$B12)),IF(NOT(ISNUMBER(Data!X10)),0,ABS(($F12*100)-(Data!X10-$I12)*$K12)),ABS(($F12*100)-(Data!X10-$G12)*$K12))</f>
        <v>40</v>
      </c>
      <c r="AF12" s="64">
        <f>CHOOSE($E12,SUMPRODUCT((AF13:AF$65)*($M13:$M$65)*($C13:U$65=$B12)),IF(NOT(ISNUMBER(Data!Y10)),0,ABS(($F12*100)-(Data!Y10-$I12)*$K12)),ABS(($F12*100)-(Data!Y10-$G12)*$K12))</f>
        <v>80</v>
      </c>
      <c r="AG12" s="64">
        <f>CHOOSE($E12,SUMPRODUCT((AG13:AG$65)*($M13:$M$65)*($C13:V$65=$B12)),IF(NOT(ISNUMBER(Data!Z10)),0,ABS(($F12*100)-(Data!Z10-$I12)*$K12)),ABS(($F12*100)-(Data!Z10-$G12)*$K12))</f>
        <v>80</v>
      </c>
      <c r="AH12" s="64">
        <f>CHOOSE($E12,SUMPRODUCT((AH13:AH$65)*($M13:$M$65)*($C13:W$65=$B12)),IF(NOT(ISNUMBER(Data!AA10)),0,ABS(($F12*100)-(Data!AA10-$I12)*$K12)),ABS(($F12*100)-(Data!AA10-$G12)*$K12))</f>
        <v>80</v>
      </c>
      <c r="AI12" s="64">
        <f>CHOOSE($E12,SUMPRODUCT((AI13:AI$65)*($M13:$M$65)*($C13:X$65=$B12)),IF(NOT(ISNUMBER(Data!AB10)),0,ABS(($F12*100)-(Data!AB10-$I12)*$K12)),ABS(($F12*100)-(Data!AB10-$G12)*$K12))</f>
        <v>80</v>
      </c>
      <c r="AJ12" s="64">
        <f>CHOOSE($E12,SUMPRODUCT((AJ13:AJ$65)*($M13:$M$65)*($C13:Y$65=$B12)),IF(NOT(ISNUMBER(Data!AC10)),0,ABS(($F12*100)-(Data!AC10-$I12)*$K12)),ABS(($F12*100)-(Data!AC10-$G12)*$K12))</f>
        <v>80</v>
      </c>
      <c r="AK12" s="64">
        <f>CHOOSE($E12,SUMPRODUCT((AK13:AK$65)*($M13:$M$65)*($C13:Z$65=$B12)),IF(NOT(ISNUMBER(Data!AD10)),0,ABS(($F12*100)-(Data!AD10-$I12)*$K12)),ABS(($F12*100)-(Data!AD10-$G12)*$K12))</f>
        <v>60</v>
      </c>
      <c r="AL12" s="64">
        <f>CHOOSE($E12,SUMPRODUCT((AL13:AL$65)*($M13:$M$65)*($C13:AA$65=$B12)),IF(NOT(ISNUMBER(Data!AE10)),0,ABS(($F12*100)-(Data!AE10-$I12)*$K12)),ABS(($F12*100)-(Data!AE10-$G12)*$K12))</f>
        <v>60</v>
      </c>
      <c r="AM12" s="64">
        <f>CHOOSE($E12,SUMPRODUCT((AM13:AM$65)*($M13:$M$65)*($C13:AB$65=$B12)),IF(NOT(ISNUMBER(Data!AF10)),0,ABS(($F12*100)-(Data!AF10-$I12)*$K12)),ABS(($F12*100)-(Data!AF10-$G12)*$K12))</f>
        <v>60</v>
      </c>
      <c r="AN12" s="64">
        <f>CHOOSE($E12,SUMPRODUCT((AN13:AN$65)*($M13:$M$65)*($C13:AC$65=$B12)),IF(NOT(ISNUMBER(Data!AG10)),0,ABS(($F12*100)-(Data!AG10-$I12)*$K12)),ABS(($F12*100)-(Data!AG10-$G12)*$K12))</f>
        <v>80</v>
      </c>
      <c r="AO12" s="64">
        <f>CHOOSE($E12,SUMPRODUCT((AO13:AO$65)*($M13:$M$65)*($C13:AD$65=$B12)),IF(NOT(ISNUMBER(Data!AH10)),0,ABS(($F12*100)-(Data!AH10-$I12)*$K12)),ABS(($F12*100)-(Data!AH10-$G12)*$K12))</f>
        <v>60</v>
      </c>
      <c r="AP12" s="64">
        <f>CHOOSE($E12,SUMPRODUCT((AP13:AP$65)*($M13:$M$65)*($C13:AE$65=$B12)),IF(NOT(ISNUMBER(Data!AI10)),0,ABS(($F12*100)-(Data!AI10-$I12)*$K12)),ABS(($F12*100)-(Data!AI10-$G12)*$K12))</f>
        <v>60</v>
      </c>
      <c r="AQ12" s="64">
        <f>CHOOSE($E12,SUMPRODUCT((AQ13:AQ$65)*($M13:$M$65)*($C13:AF$65=$B12)),IF(NOT(ISNUMBER(Data!AJ10)),0,ABS(($F12*100)-(Data!AJ10-$I12)*$K12)),ABS(($F12*100)-(Data!AJ10-$G12)*$K12))</f>
        <v>60</v>
      </c>
      <c r="AR12" s="64">
        <f>CHOOSE($E12,SUMPRODUCT((AR13:AR$65)*($M13:$M$65)*($C13:AG$65=$B12)),IF(NOT(ISNUMBER(Data!AK10)),0,ABS(($F12*100)-(Data!AK10-$I12)*$K12)),ABS(($F12*100)-(Data!AK10-$G12)*$K12))</f>
        <v>20</v>
      </c>
      <c r="AS12" s="64">
        <f>CHOOSE($E12,SUMPRODUCT((AS13:AS$65)*($M13:$M$65)*($C13:AH$65=$B12)),IF(NOT(ISNUMBER(Data!AL10)),0,ABS(($F12*100)-(Data!AL10-$I12)*$K12)),ABS(($F12*100)-(Data!AL10-$G12)*$K12))</f>
        <v>60</v>
      </c>
      <c r="AT12" s="64">
        <f>CHOOSE($E12,SUMPRODUCT((AT13:AT$65)*($M13:$M$65)*($C13:AI$65=$B12)),IF(NOT(ISNUMBER(Data!AM10)),0,ABS(($F12*100)-(Data!AM10-$I12)*$K12)),ABS(($F12*100)-(Data!AM10-$G12)*$K12))</f>
        <v>80</v>
      </c>
      <c r="AU12" s="64">
        <f>CHOOSE($E12,SUMPRODUCT((AU13:AU$65)*($M13:$M$65)*($C13:AJ$65=$B12)),IF(NOT(ISNUMBER(Data!AN10)),0,ABS(($F12*100)-(Data!AN10-$I12)*$K12)),ABS(($F12*100)-(Data!AN10-$G12)*$K12))</f>
        <v>80</v>
      </c>
      <c r="AV12" s="64">
        <f>CHOOSE($E12,SUMPRODUCT((AV13:AV$65)*($M13:$M$65)*($C13:AK$65=$B12)),IF(NOT(ISNUMBER(Data!AO10)),0,ABS(($F12*100)-(Data!AO10-$I12)*$K12)),ABS(($F12*100)-(Data!AO10-$G12)*$K12))</f>
        <v>60</v>
      </c>
      <c r="AW12" s="64">
        <f>CHOOSE($E12,SUMPRODUCT((AW13:AW$65)*($M13:$M$65)*($C13:AL$65=$B12)),IF(NOT(ISNUMBER(Data!AP10)),0,ABS(($F12*100)-(Data!AP10-$I12)*$K12)),ABS(($F12*100)-(Data!AP10-$G12)*$K12))</f>
        <v>40</v>
      </c>
      <c r="AX12" s="64">
        <f>CHOOSE($E12,SUMPRODUCT((AX13:AX$65)*($M13:$M$65)*($C13:AM$65=$B12)),IF(NOT(ISNUMBER(Data!AQ10)),0,ABS(($F12*100)-(Data!AQ10-$I12)*$K12)),ABS(($F12*100)-(Data!AQ10-$G12)*$K12))</f>
        <v>60</v>
      </c>
      <c r="AY12" s="64">
        <f>CHOOSE($E12,SUMPRODUCT((AY13:AY$65)*($M13:$M$65)*($C13:AN$65=$B12)),IF(NOT(ISNUMBER(Data!AR10)),0,ABS(($F12*100)-(Data!AR10-$I12)*$K12)),ABS(($F12*100)-(Data!AR10-$G12)*$K12))</f>
        <v>20</v>
      </c>
      <c r="AZ12" s="64">
        <f>CHOOSE($E12,SUMPRODUCT((AZ13:AZ$65)*($M13:$M$65)*($C13:AO$65=$B12)),IF(NOT(ISNUMBER(Data!AS10)),0,ABS(($F12*100)-(Data!AS10-$I12)*$K12)),ABS(($F12*100)-(Data!AS10-$G12)*$K12))</f>
        <v>0</v>
      </c>
      <c r="BA12" s="64">
        <f>CHOOSE($E12,SUMPRODUCT((BA13:BA$65)*($M13:$M$65)*($C13:AP$65=$B12)),IF(NOT(ISNUMBER(Data!AT10)),0,ABS(($F12*100)-(Data!AT10-$I12)*$K12)),ABS(($F12*100)-(Data!AT10-$G12)*$K12))</f>
        <v>40</v>
      </c>
      <c r="BB12" s="64">
        <f>CHOOSE($E12,SUMPRODUCT((BB13:BB$65)*($M13:$M$65)*($C13:AQ$65=$B12)),IF(NOT(ISNUMBER(Data!AU10)),0,ABS(($F12*100)-(Data!AU10-$I12)*$K12)),ABS(($F12*100)-(Data!AU10-$G12)*$K12))</f>
        <v>20</v>
      </c>
      <c r="BC12" s="64">
        <f>CHOOSE($E12,SUMPRODUCT((BC13:BC$65)*($M13:$M$65)*($C13:AR$65=$B12)),IF(NOT(ISNUMBER(Data!AV10)),0,ABS(($F12*100)-(Data!AV10-$I12)*$K12)),ABS(($F12*100)-(Data!AV10-$G12)*$K12))</f>
        <v>20</v>
      </c>
      <c r="BD12" s="64">
        <f>CHOOSE($E12,SUMPRODUCT((BD13:BD$65)*($M13:$M$65)*($C13:AS$65=$B12)),IF(NOT(ISNUMBER(Data!AW10)),0,ABS(($F12*100)-(Data!AW10-$I12)*$K12)),ABS(($F12*100)-(Data!AW10-$G12)*$K12))</f>
        <v>20</v>
      </c>
      <c r="BE12" s="64">
        <f>CHOOSE($E12,SUMPRODUCT((BE13:BE$65)*($M13:$M$65)*($C13:AT$65=$B12)),IF(NOT(ISNUMBER(Data!AX10)),0,ABS(($F12*100)-(Data!AX10-$I12)*$K12)),ABS(($F12*100)-(Data!AX10-$G12)*$K12))</f>
        <v>0</v>
      </c>
      <c r="BF12" s="64">
        <f>CHOOSE($E12,SUMPRODUCT((BF13:BF$65)*($M13:$M$65)*($C13:AU$65=$B12)),IF(NOT(ISNUMBER(Data!AY10)),0,ABS(($F12*100)-(Data!AY10-$I12)*$K12)),ABS(($F12*100)-(Data!AY10-$G12)*$K12))</f>
        <v>60</v>
      </c>
      <c r="BG12" s="64">
        <f>CHOOSE($E12,SUMPRODUCT((BG13:BG$65)*($M13:$M$65)*($C13:AV$65=$B12)),IF(NOT(ISNUMBER(Data!AZ10)),0,ABS(($F12*100)-(Data!AZ10-$I12)*$K12)),ABS(($F12*100)-(Data!AZ10-$G12)*$K12))</f>
        <v>40</v>
      </c>
      <c r="BH12" s="64">
        <f>CHOOSE($E12,SUMPRODUCT((BH13:BH$65)*($M13:$M$65)*($C13:AW$65=$B12)),IF(NOT(ISNUMBER(Data!BA10)),0,ABS(($F12*100)-(Data!BA10-$I12)*$K12)),ABS(($F12*100)-(Data!BA10-$G12)*$K12))</f>
        <v>40</v>
      </c>
      <c r="BI12" s="64">
        <f>CHOOSE($E12,SUMPRODUCT((BI13:BI$65)*($M13:$M$65)*($C13:AX$65=$B12)),IF(NOT(ISNUMBER(Data!BB10)),0,ABS(($F12*100)-(Data!BB10-$I12)*$K12)),ABS(($F12*100)-(Data!BB10-$G12)*$K12))</f>
        <v>40</v>
      </c>
      <c r="BJ12" s="64">
        <f>CHOOSE($E12,SUMPRODUCT((BJ13:BJ$65)*($M13:$M$65)*($C13:AY$65=$B12)),IF(NOT(ISNUMBER(Data!BC10)),0,ABS(($F12*100)-(Data!BC10-$I12)*$K12)),ABS(($F12*100)-(Data!BC10-$G12)*$K12))</f>
        <v>60</v>
      </c>
      <c r="BK12" s="64">
        <f>CHOOSE($E12,SUMPRODUCT((BK13:BK$65)*($M13:$M$65)*($C13:AZ$65=$B12)),IF(NOT(ISNUMBER(Data!BD10)),0,ABS(($F12*100)-(Data!BD10-$I12)*$K12)),ABS(($F12*100)-(Data!BD10-$G12)*$K12))</f>
        <v>40</v>
      </c>
      <c r="BM12" s="65"/>
    </row>
    <row r="13" s="22" customFormat="1" spans="1:65">
      <c r="A13" s="24"/>
      <c r="B13" s="24" t="str">
        <f>tblIndicators!B6</f>
        <v>DIGSEC_IP_02</v>
      </c>
      <c r="C13" s="24" t="str">
        <f>tblIndicators!C6</f>
        <v>DIGSEC_IP</v>
      </c>
      <c r="D13" s="52">
        <f>tblIndicators!D6</f>
        <v>3</v>
      </c>
      <c r="E13" s="52">
        <f>tblIndicators!M6</f>
        <v>3</v>
      </c>
      <c r="F13" s="52">
        <f>tblIndicators!N6</f>
        <v>0</v>
      </c>
      <c r="G13" s="52">
        <f>tblIndicators!Q6</f>
        <v>0</v>
      </c>
      <c r="H13" s="52">
        <f>tblIndicators!R6</f>
        <v>3</v>
      </c>
      <c r="I13" s="52" t="str">
        <f>IF($E13=2,MIN(Data!G11:BD11),"")</f>
        <v/>
      </c>
      <c r="J13" s="52" t="str">
        <f>IF($E13=2,MAX(Data!G11:BD11),"")</f>
        <v/>
      </c>
      <c r="K13" s="54">
        <f t="shared" ref="K13:K38" si="2">CHOOSE($E13,"",100/(J13-I13),100/(H13-G13))</f>
        <v>33.3333333333333</v>
      </c>
      <c r="L13" s="62" t="str">
        <f>tblIndicators!Z6</f>
        <v>1.1.2) Citizen awareness of digital threats</v>
      </c>
      <c r="M13" s="63">
        <f>tblIndicators!AC6</f>
        <v>0.2</v>
      </c>
      <c r="N13" s="64">
        <f>CHOOSE($E13,SUMPRODUCT((N14:N$65)*($M14:$M$65)*($C14:C$65=$B13)),IF(NOT(ISNUMBER(Data!G11)),0,ABS(($F13*100)-(Data!G11-$I13)*$K13)),ABS(($F13*100)-(Data!G11-$G13)*$K13))</f>
        <v>66.6666666666667</v>
      </c>
      <c r="O13" s="64">
        <f>CHOOSE($E13,SUMPRODUCT((O14:O$65)*($M14:$M$65)*($C14:D$65=$B13)),IF(NOT(ISNUMBER(Data!H11)),0,ABS(($F13*100)-(Data!H11-$I13)*$K13)),ABS(($F13*100)-(Data!H11-$G13)*$K13))</f>
        <v>33.3333333333333</v>
      </c>
      <c r="P13" s="64">
        <f>CHOOSE($E13,SUMPRODUCT((P14:P$65)*($M14:$M$65)*($C14:E$65=$B13)),IF(NOT(ISNUMBER(Data!I11)),0,ABS(($F13*100)-(Data!I11-$I13)*$K13)),ABS(($F13*100)-(Data!I11-$G13)*$K13))</f>
        <v>66.6666666666667</v>
      </c>
      <c r="Q13" s="64">
        <f>CHOOSE($E13,SUMPRODUCT((Q14:Q$65)*($M14:$M$65)*($C14:F$65=$B13)),IF(NOT(ISNUMBER(Data!J11)),0,ABS(($F13*100)-(Data!J11-$I13)*$K13)),ABS(($F13*100)-(Data!J11-$G13)*$K13))</f>
        <v>33.3333333333333</v>
      </c>
      <c r="R13" s="64">
        <f>CHOOSE($E13,SUMPRODUCT((R14:R$65)*($M14:$M$65)*($C14:G$65=$B13)),IF(NOT(ISNUMBER(Data!K11)),0,ABS(($F13*100)-(Data!K11-$I13)*$K13)),ABS(($F13*100)-(Data!K11-$G13)*$K13))</f>
        <v>33.3333333333333</v>
      </c>
      <c r="S13" s="64">
        <f>CHOOSE($E13,SUMPRODUCT((S14:S$65)*($M14:$M$65)*($C14:H$65=$B13)),IF(NOT(ISNUMBER(Data!L11)),0,ABS(($F13*100)-(Data!L11-$I13)*$K13)),ABS(($F13*100)-(Data!L11-$G13)*$K13))</f>
        <v>66.6666666666667</v>
      </c>
      <c r="T13" s="64">
        <f>CHOOSE($E13,SUMPRODUCT((T14:T$65)*($M14:$M$65)*($C14:I$65=$B13)),IF(NOT(ISNUMBER(Data!M11)),0,ABS(($F13*100)-(Data!M11-$I13)*$K13)),ABS(($F13*100)-(Data!M11-$G13)*$K13))</f>
        <v>66.6666666666667</v>
      </c>
      <c r="U13" s="64">
        <f>CHOOSE($E13,SUMPRODUCT((U14:U$65)*($M14:$M$65)*($C14:J$65=$B13)),IF(NOT(ISNUMBER(Data!N11)),0,ABS(($F13*100)-(Data!N11-$I13)*$K13)),ABS(($F13*100)-(Data!N11-$G13)*$K13))</f>
        <v>66.6666666666667</v>
      </c>
      <c r="V13" s="64">
        <f>CHOOSE($E13,SUMPRODUCT((V14:V$65)*($M14:$M$65)*($C14:K$65=$B13)),IF(NOT(ISNUMBER(Data!O11)),0,ABS(($F13*100)-(Data!O11-$I13)*$K13)),ABS(($F13*100)-(Data!O11-$G13)*$K13))</f>
        <v>66.6666666666667</v>
      </c>
      <c r="W13" s="64">
        <f>CHOOSE($E13,SUMPRODUCT((W14:W$65)*($M14:$M$65)*($C14:L$65=$B13)),IF(NOT(ISNUMBER(Data!P11)),0,ABS(($F13*100)-(Data!P11-$I13)*$K13)),ABS(($F13*100)-(Data!P11-$G13)*$K13))</f>
        <v>66.6666666666667</v>
      </c>
      <c r="X13" s="64">
        <f>CHOOSE($E13,SUMPRODUCT((X14:X$65)*($M14:$M$65)*($C14:M$65=$B13)),IF(NOT(ISNUMBER(Data!Q11)),0,ABS(($F13*100)-(Data!Q11-$I13)*$K13)),ABS(($F13*100)-(Data!Q11-$G13)*$K13))</f>
        <v>66.6666666666667</v>
      </c>
      <c r="Y13" s="64">
        <f>CHOOSE($E13,SUMPRODUCT((Y14:Y$65)*($M14:$M$65)*($C14:N$65=$B13)),IF(NOT(ISNUMBER(Data!R11)),0,ABS(($F13*100)-(Data!R11-$I13)*$K13)),ABS(($F13*100)-(Data!R11-$G13)*$K13))</f>
        <v>66.6666666666667</v>
      </c>
      <c r="Z13" s="64">
        <f>CHOOSE($E13,SUMPRODUCT((Z14:Z$65)*($M14:$M$65)*($C14:O$65=$B13)),IF(NOT(ISNUMBER(Data!S11)),0,ABS(($F13*100)-(Data!S11-$I13)*$K13)),ABS(($F13*100)-(Data!S11-$G13)*$K13))</f>
        <v>66.6666666666667</v>
      </c>
      <c r="AA13" s="64">
        <f>CHOOSE($E13,SUMPRODUCT((AA14:AA$65)*($M14:$M$65)*($C14:P$65=$B13)),IF(NOT(ISNUMBER(Data!T11)),0,ABS(($F13*100)-(Data!T11-$I13)*$K13)),ABS(($F13*100)-(Data!T11-$G13)*$K13))</f>
        <v>66.6666666666667</v>
      </c>
      <c r="AB13" s="64">
        <f>CHOOSE($E13,SUMPRODUCT((AB14:AB$65)*($M14:$M$65)*($C14:Q$65=$B13)),IF(NOT(ISNUMBER(Data!U11)),0,ABS(($F13*100)-(Data!U11-$I13)*$K13)),ABS(($F13*100)-(Data!U11-$G13)*$K13))</f>
        <v>66.6666666666667</v>
      </c>
      <c r="AC13" s="64">
        <f>CHOOSE($E13,SUMPRODUCT((AC14:AC$65)*($M14:$M$65)*($C14:R$65=$B13)),IF(NOT(ISNUMBER(Data!V11)),0,ABS(($F13*100)-(Data!V11-$I13)*$K13)),ABS(($F13*100)-(Data!V11-$G13)*$K13))</f>
        <v>66.6666666666667</v>
      </c>
      <c r="AD13" s="64">
        <f>CHOOSE($E13,SUMPRODUCT((AD14:AD$65)*($M14:$M$65)*($C14:S$65=$B13)),IF(NOT(ISNUMBER(Data!W11)),0,ABS(($F13*100)-(Data!W11-$I13)*$K13)),ABS(($F13*100)-(Data!W11-$G13)*$K13))</f>
        <v>66.6666666666667</v>
      </c>
      <c r="AE13" s="64">
        <f>CHOOSE($E13,SUMPRODUCT((AE14:AE$65)*($M14:$M$65)*($C14:T$65=$B13)),IF(NOT(ISNUMBER(Data!X11)),0,ABS(($F13*100)-(Data!X11-$I13)*$K13)),ABS(($F13*100)-(Data!X11-$G13)*$K13))</f>
        <v>66.6666666666667</v>
      </c>
      <c r="AF13" s="64">
        <f>CHOOSE($E13,SUMPRODUCT((AF14:AF$65)*($M14:$M$65)*($C14:U$65=$B13)),IF(NOT(ISNUMBER(Data!Y11)),0,ABS(($F13*100)-(Data!Y11-$I13)*$K13)),ABS(($F13*100)-(Data!Y11-$G13)*$K13))</f>
        <v>33.3333333333333</v>
      </c>
      <c r="AG13" s="64">
        <f>CHOOSE($E13,SUMPRODUCT((AG14:AG$65)*($M14:$M$65)*($C14:V$65=$B13)),IF(NOT(ISNUMBER(Data!Z11)),0,ABS(($F13*100)-(Data!Z11-$I13)*$K13)),ABS(($F13*100)-(Data!Z11-$G13)*$K13))</f>
        <v>33.3333333333333</v>
      </c>
      <c r="AH13" s="64">
        <f>CHOOSE($E13,SUMPRODUCT((AH14:AH$65)*($M14:$M$65)*($C14:W$65=$B13)),IF(NOT(ISNUMBER(Data!AA11)),0,ABS(($F13*100)-(Data!AA11-$I13)*$K13)),ABS(($F13*100)-(Data!AA11-$G13)*$K13))</f>
        <v>33.3333333333333</v>
      </c>
      <c r="AI13" s="64">
        <f>CHOOSE($E13,SUMPRODUCT((AI14:AI$65)*($M14:$M$65)*($C14:X$65=$B13)),IF(NOT(ISNUMBER(Data!AB11)),0,ABS(($F13*100)-(Data!AB11-$I13)*$K13)),ABS(($F13*100)-(Data!AB11-$G13)*$K13))</f>
        <v>33.3333333333333</v>
      </c>
      <c r="AJ13" s="64">
        <f>CHOOSE($E13,SUMPRODUCT((AJ14:AJ$65)*($M14:$M$65)*($C14:Y$65=$B13)),IF(NOT(ISNUMBER(Data!AC11)),0,ABS(($F13*100)-(Data!AC11-$I13)*$K13)),ABS(($F13*100)-(Data!AC11-$G13)*$K13))</f>
        <v>33.3333333333333</v>
      </c>
      <c r="AK13" s="64">
        <f>CHOOSE($E13,SUMPRODUCT((AK14:AK$65)*($M14:$M$65)*($C14:Z$65=$B13)),IF(NOT(ISNUMBER(Data!AD11)),0,ABS(($F13*100)-(Data!AD11-$I13)*$K13)),ABS(($F13*100)-(Data!AD11-$G13)*$K13))</f>
        <v>100</v>
      </c>
      <c r="AL13" s="64">
        <f>CHOOSE($E13,SUMPRODUCT((AL14:AL$65)*($M14:$M$65)*($C14:AA$65=$B13)),IF(NOT(ISNUMBER(Data!AE11)),0,ABS(($F13*100)-(Data!AE11-$I13)*$K13)),ABS(($F13*100)-(Data!AE11-$G13)*$K13))</f>
        <v>100</v>
      </c>
      <c r="AM13" s="64">
        <f>CHOOSE($E13,SUMPRODUCT((AM14:AM$65)*($M14:$M$65)*($C14:AB$65=$B13)),IF(NOT(ISNUMBER(Data!AF11)),0,ABS(($F13*100)-(Data!AF11-$I13)*$K13)),ABS(($F13*100)-(Data!AF11-$G13)*$K13))</f>
        <v>66.6666666666667</v>
      </c>
      <c r="AN13" s="64">
        <f>CHOOSE($E13,SUMPRODUCT((AN14:AN$65)*($M14:$M$65)*($C14:AC$65=$B13)),IF(NOT(ISNUMBER(Data!AG11)),0,ABS(($F13*100)-(Data!AG11-$I13)*$K13)),ABS(($F13*100)-(Data!AG11-$G13)*$K13))</f>
        <v>0</v>
      </c>
      <c r="AO13" s="64">
        <f>CHOOSE($E13,SUMPRODUCT((AO14:AO$65)*($M14:$M$65)*($C14:AD$65=$B13)),IF(NOT(ISNUMBER(Data!AH11)),0,ABS(($F13*100)-(Data!AH11-$I13)*$K13)),ABS(($F13*100)-(Data!AH11-$G13)*$K13))</f>
        <v>33.3333333333333</v>
      </c>
      <c r="AP13" s="64">
        <f>CHOOSE($E13,SUMPRODUCT((AP14:AP$65)*($M14:$M$65)*($C14:AE$65=$B13)),IF(NOT(ISNUMBER(Data!AI11)),0,ABS(($F13*100)-(Data!AI11-$I13)*$K13)),ABS(($F13*100)-(Data!AI11-$G13)*$K13))</f>
        <v>33.3333333333333</v>
      </c>
      <c r="AQ13" s="64">
        <f>CHOOSE($E13,SUMPRODUCT((AQ14:AQ$65)*($M14:$M$65)*($C14:AF$65=$B13)),IF(NOT(ISNUMBER(Data!AJ11)),0,ABS(($F13*100)-(Data!AJ11-$I13)*$K13)),ABS(($F13*100)-(Data!AJ11-$G13)*$K13))</f>
        <v>66.6666666666667</v>
      </c>
      <c r="AR13" s="64">
        <f>CHOOSE($E13,SUMPRODUCT((AR14:AR$65)*($M14:$M$65)*($C14:AG$65=$B13)),IF(NOT(ISNUMBER(Data!AK11)),0,ABS(($F13*100)-(Data!AK11-$I13)*$K13)),ABS(($F13*100)-(Data!AK11-$G13)*$K13))</f>
        <v>66.6666666666667</v>
      </c>
      <c r="AS13" s="64">
        <f>CHOOSE($E13,SUMPRODUCT((AS14:AS$65)*($M14:$M$65)*($C14:AH$65=$B13)),IF(NOT(ISNUMBER(Data!AL11)),0,ABS(($F13*100)-(Data!AL11-$I13)*$K13)),ABS(($F13*100)-(Data!AL11-$G13)*$K13))</f>
        <v>33.3333333333333</v>
      </c>
      <c r="AT13" s="64">
        <f>CHOOSE($E13,SUMPRODUCT((AT14:AT$65)*($M14:$M$65)*($C14:AI$65=$B13)),IF(NOT(ISNUMBER(Data!AM11)),0,ABS(($F13*100)-(Data!AM11-$I13)*$K13)),ABS(($F13*100)-(Data!AM11-$G13)*$K13))</f>
        <v>33.3333333333333</v>
      </c>
      <c r="AU13" s="64">
        <f>CHOOSE($E13,SUMPRODUCT((AU14:AU$65)*($M14:$M$65)*($C14:AJ$65=$B13)),IF(NOT(ISNUMBER(Data!AN11)),0,ABS(($F13*100)-(Data!AN11-$I13)*$K13)),ABS(($F13*100)-(Data!AN11-$G13)*$K13))</f>
        <v>33.3333333333333</v>
      </c>
      <c r="AV13" s="64">
        <f>CHOOSE($E13,SUMPRODUCT((AV14:AV$65)*($M14:$M$65)*($C14:AK$65=$B13)),IF(NOT(ISNUMBER(Data!AO11)),0,ABS(($F13*100)-(Data!AO11-$I13)*$K13)),ABS(($F13*100)-(Data!AO11-$G13)*$K13))</f>
        <v>33.3333333333333</v>
      </c>
      <c r="AW13" s="64">
        <f>CHOOSE($E13,SUMPRODUCT((AW14:AW$65)*($M14:$M$65)*($C14:AL$65=$B13)),IF(NOT(ISNUMBER(Data!AP11)),0,ABS(($F13*100)-(Data!AP11-$I13)*$K13)),ABS(($F13*100)-(Data!AP11-$G13)*$K13))</f>
        <v>33.3333333333333</v>
      </c>
      <c r="AX13" s="64">
        <f>CHOOSE($E13,SUMPRODUCT((AX14:AX$65)*($M14:$M$65)*($C14:AM$65=$B13)),IF(NOT(ISNUMBER(Data!AQ11)),0,ABS(($F13*100)-(Data!AQ11-$I13)*$K13)),ABS(($F13*100)-(Data!AQ11-$G13)*$K13))</f>
        <v>33.3333333333333</v>
      </c>
      <c r="AY13" s="64">
        <f>CHOOSE($E13,SUMPRODUCT((AY14:AY$65)*($M14:$M$65)*($C14:AN$65=$B13)),IF(NOT(ISNUMBER(Data!AR11)),0,ABS(($F13*100)-(Data!AR11-$I13)*$K13)),ABS(($F13*100)-(Data!AR11-$G13)*$K13))</f>
        <v>66.6666666666667</v>
      </c>
      <c r="AZ13" s="64">
        <f>CHOOSE($E13,SUMPRODUCT((AZ14:AZ$65)*($M14:$M$65)*($C14:AO$65=$B13)),IF(NOT(ISNUMBER(Data!AS11)),0,ABS(($F13*100)-(Data!AS11-$I13)*$K13)),ABS(($F13*100)-(Data!AS11-$G13)*$K13))</f>
        <v>66.6666666666667</v>
      </c>
      <c r="BA13" s="64">
        <f>CHOOSE($E13,SUMPRODUCT((BA14:BA$65)*($M14:$M$65)*($C14:AP$65=$B13)),IF(NOT(ISNUMBER(Data!AT11)),0,ABS(($F13*100)-(Data!AT11-$I13)*$K13)),ABS(($F13*100)-(Data!AT11-$G13)*$K13))</f>
        <v>0</v>
      </c>
      <c r="BB13" s="64">
        <f>CHOOSE($E13,SUMPRODUCT((BB14:BB$65)*($M14:$M$65)*($C14:AQ$65=$B13)),IF(NOT(ISNUMBER(Data!AU11)),0,ABS(($F13*100)-(Data!AU11-$I13)*$K13)),ABS(($F13*100)-(Data!AU11-$G13)*$K13))</f>
        <v>33.3333333333333</v>
      </c>
      <c r="BC13" s="64">
        <f>CHOOSE($E13,SUMPRODUCT((BC14:BC$65)*($M14:$M$65)*($C14:AR$65=$B13)),IF(NOT(ISNUMBER(Data!AV11)),0,ABS(($F13*100)-(Data!AV11-$I13)*$K13)),ABS(($F13*100)-(Data!AV11-$G13)*$K13))</f>
        <v>0</v>
      </c>
      <c r="BD13" s="64">
        <f>CHOOSE($E13,SUMPRODUCT((BD14:BD$65)*($M14:$M$65)*($C14:AS$65=$B13)),IF(NOT(ISNUMBER(Data!AW11)),0,ABS(($F13*100)-(Data!AW11-$I13)*$K13)),ABS(($F13*100)-(Data!AW11-$G13)*$K13))</f>
        <v>0</v>
      </c>
      <c r="BE13" s="64">
        <f>CHOOSE($E13,SUMPRODUCT((BE14:BE$65)*($M14:$M$65)*($C14:AT$65=$B13)),IF(NOT(ISNUMBER(Data!AX11)),0,ABS(($F13*100)-(Data!AX11-$I13)*$K13)),ABS(($F13*100)-(Data!AX11-$G13)*$K13))</f>
        <v>33.3333333333333</v>
      </c>
      <c r="BF13" s="64">
        <f>CHOOSE($E13,SUMPRODUCT((BF14:BF$65)*($M14:$M$65)*($C14:AU$65=$B13)),IF(NOT(ISNUMBER(Data!AY11)),0,ABS(($F13*100)-(Data!AY11-$I13)*$K13)),ABS(($F13*100)-(Data!AY11-$G13)*$K13))</f>
        <v>33.3333333333333</v>
      </c>
      <c r="BG13" s="64">
        <f>CHOOSE($E13,SUMPRODUCT((BG14:BG$65)*($M14:$M$65)*($C14:AV$65=$B13)),IF(NOT(ISNUMBER(Data!AZ11)),0,ABS(($F13*100)-(Data!AZ11-$I13)*$K13)),ABS(($F13*100)-(Data!AZ11-$G13)*$K13))</f>
        <v>66.6666666666667</v>
      </c>
      <c r="BH13" s="64">
        <f>CHOOSE($E13,SUMPRODUCT((BH14:BH$65)*($M14:$M$65)*($C14:AW$65=$B13)),IF(NOT(ISNUMBER(Data!BA11)),0,ABS(($F13*100)-(Data!BA11-$I13)*$K13)),ABS(($F13*100)-(Data!BA11-$G13)*$K13))</f>
        <v>66.6666666666667</v>
      </c>
      <c r="BI13" s="64">
        <f>CHOOSE($E13,SUMPRODUCT((BI14:BI$65)*($M14:$M$65)*($C14:AX$65=$B13)),IF(NOT(ISNUMBER(Data!BB11)),0,ABS(($F13*100)-(Data!BB11-$I13)*$K13)),ABS(($F13*100)-(Data!BB11-$G13)*$K13))</f>
        <v>33.3333333333333</v>
      </c>
      <c r="BJ13" s="64">
        <f>CHOOSE($E13,SUMPRODUCT((BJ14:BJ$65)*($M14:$M$65)*($C14:AY$65=$B13)),IF(NOT(ISNUMBER(Data!BC11)),0,ABS(($F13*100)-(Data!BC11-$I13)*$K13)),ABS(($F13*100)-(Data!BC11-$G13)*$K13))</f>
        <v>33.3333333333333</v>
      </c>
      <c r="BK13" s="64">
        <f>CHOOSE($E13,SUMPRODUCT((BK14:BK$65)*($M14:$M$65)*($C14:AZ$65=$B13)),IF(NOT(ISNUMBER(Data!BD11)),0,ABS(($F13*100)-(Data!BD11-$I13)*$K13)),ABS(($F13*100)-(Data!BD11-$G13)*$K13))</f>
        <v>66.6666666666667</v>
      </c>
      <c r="BM13" s="65"/>
    </row>
    <row r="14" s="22" customFormat="1" spans="1:65">
      <c r="A14" s="24"/>
      <c r="B14" s="24" t="str">
        <f>tblIndicators!B7</f>
        <v>DIGSEC_IP_03</v>
      </c>
      <c r="C14" s="24" t="str">
        <f>tblIndicators!C7</f>
        <v>DIGSEC_IP</v>
      </c>
      <c r="D14" s="52">
        <f>tblIndicators!D7</f>
        <v>3</v>
      </c>
      <c r="E14" s="52">
        <f>tblIndicators!M7</f>
        <v>3</v>
      </c>
      <c r="F14" s="52">
        <f>tblIndicators!N7</f>
        <v>0</v>
      </c>
      <c r="G14" s="52">
        <f>tblIndicators!Q7</f>
        <v>0</v>
      </c>
      <c r="H14" s="52">
        <f>tblIndicators!R7</f>
        <v>2</v>
      </c>
      <c r="I14" s="52" t="str">
        <f>IF($E14=2,MIN(Data!G12:BD12),"")</f>
        <v/>
      </c>
      <c r="J14" s="52" t="str">
        <f>IF($E14=2,MAX(Data!G12:BD12),"")</f>
        <v/>
      </c>
      <c r="K14" s="54">
        <f t="shared" si="2"/>
        <v>50</v>
      </c>
      <c r="L14" s="62" t="str">
        <f>tblIndicators!Z7</f>
        <v>1.1.3) City reliance on digital infrastructure</v>
      </c>
      <c r="M14" s="63">
        <f>tblIndicators!AC7</f>
        <v>0</v>
      </c>
      <c r="N14" s="64">
        <f>CHOOSE($E14,SUMPRODUCT((N15:N$65)*($M15:$M$65)*($C15:C$65=$B14)),IF(NOT(ISNUMBER(Data!G12)),0,ABS(($F14*100)-(Data!G12-$I14)*$K14)),ABS(($F14*100)-(Data!G12-$G14)*$K14))</f>
        <v>0</v>
      </c>
      <c r="O14" s="64">
        <f>CHOOSE($E14,SUMPRODUCT((O15:O$65)*($M15:$M$65)*($C15:D$65=$B14)),IF(NOT(ISNUMBER(Data!H12)),0,ABS(($F14*100)-(Data!H12-$I14)*$K14)),ABS(($F14*100)-(Data!H12-$G14)*$K14))</f>
        <v>0</v>
      </c>
      <c r="P14" s="64">
        <f>CHOOSE($E14,SUMPRODUCT((P15:P$65)*($M15:$M$65)*($C15:E$65=$B14)),IF(NOT(ISNUMBER(Data!I12)),0,ABS(($F14*100)-(Data!I12-$I14)*$K14)),ABS(($F14*100)-(Data!I12-$G14)*$K14))</f>
        <v>0</v>
      </c>
      <c r="Q14" s="64">
        <f>CHOOSE($E14,SUMPRODUCT((Q15:Q$65)*($M15:$M$65)*($C15:F$65=$B14)),IF(NOT(ISNUMBER(Data!J12)),0,ABS(($F14*100)-(Data!J12-$I14)*$K14)),ABS(($F14*100)-(Data!J12-$G14)*$K14))</f>
        <v>0</v>
      </c>
      <c r="R14" s="64">
        <f>CHOOSE($E14,SUMPRODUCT((R15:R$65)*($M15:$M$65)*($C15:G$65=$B14)),IF(NOT(ISNUMBER(Data!K12)),0,ABS(($F14*100)-(Data!K12-$I14)*$K14)),ABS(($F14*100)-(Data!K12-$G14)*$K14))</f>
        <v>0</v>
      </c>
      <c r="S14" s="64">
        <f>CHOOSE($E14,SUMPRODUCT((S15:S$65)*($M15:$M$65)*($C15:H$65=$B14)),IF(NOT(ISNUMBER(Data!L12)),0,ABS(($F14*100)-(Data!L12-$I14)*$K14)),ABS(($F14*100)-(Data!L12-$G14)*$K14))</f>
        <v>0</v>
      </c>
      <c r="T14" s="64">
        <f>CHOOSE($E14,SUMPRODUCT((T15:T$65)*($M15:$M$65)*($C15:I$65=$B14)),IF(NOT(ISNUMBER(Data!M12)),0,ABS(($F14*100)-(Data!M12-$I14)*$K14)),ABS(($F14*100)-(Data!M12-$G14)*$K14))</f>
        <v>0</v>
      </c>
      <c r="U14" s="64">
        <f>CHOOSE($E14,SUMPRODUCT((U15:U$65)*($M15:$M$65)*($C15:J$65=$B14)),IF(NOT(ISNUMBER(Data!N12)),0,ABS(($F14*100)-(Data!N12-$I14)*$K14)),ABS(($F14*100)-(Data!N12-$G14)*$K14))</f>
        <v>0</v>
      </c>
      <c r="V14" s="64">
        <f>CHOOSE($E14,SUMPRODUCT((V15:V$65)*($M15:$M$65)*($C15:K$65=$B14)),IF(NOT(ISNUMBER(Data!O12)),0,ABS(($F14*100)-(Data!O12-$I14)*$K14)),ABS(($F14*100)-(Data!O12-$G14)*$K14))</f>
        <v>0</v>
      </c>
      <c r="W14" s="64">
        <f>CHOOSE($E14,SUMPRODUCT((W15:W$65)*($M15:$M$65)*($C15:L$65=$B14)),IF(NOT(ISNUMBER(Data!P12)),0,ABS(($F14*100)-(Data!P12-$I14)*$K14)),ABS(($F14*100)-(Data!P12-$G14)*$K14))</f>
        <v>0</v>
      </c>
      <c r="X14" s="64">
        <f>CHOOSE($E14,SUMPRODUCT((X15:X$65)*($M15:$M$65)*($C15:M$65=$B14)),IF(NOT(ISNUMBER(Data!Q12)),0,ABS(($F14*100)-(Data!Q12-$I14)*$K14)),ABS(($F14*100)-(Data!Q12-$G14)*$K14))</f>
        <v>0</v>
      </c>
      <c r="Y14" s="64">
        <f>CHOOSE($E14,SUMPRODUCT((Y15:Y$65)*($M15:$M$65)*($C15:N$65=$B14)),IF(NOT(ISNUMBER(Data!R12)),0,ABS(($F14*100)-(Data!R12-$I14)*$K14)),ABS(($F14*100)-(Data!R12-$G14)*$K14))</f>
        <v>0</v>
      </c>
      <c r="Z14" s="64">
        <f>CHOOSE($E14,SUMPRODUCT((Z15:Z$65)*($M15:$M$65)*($C15:O$65=$B14)),IF(NOT(ISNUMBER(Data!S12)),0,ABS(($F14*100)-(Data!S12-$I14)*$K14)),ABS(($F14*100)-(Data!S12-$G14)*$K14))</f>
        <v>0</v>
      </c>
      <c r="AA14" s="64">
        <f>CHOOSE($E14,SUMPRODUCT((AA15:AA$65)*($M15:$M$65)*($C15:P$65=$B14)),IF(NOT(ISNUMBER(Data!T12)),0,ABS(($F14*100)-(Data!T12-$I14)*$K14)),ABS(($F14*100)-(Data!T12-$G14)*$K14))</f>
        <v>0</v>
      </c>
      <c r="AB14" s="64">
        <f>CHOOSE($E14,SUMPRODUCT((AB15:AB$65)*($M15:$M$65)*($C15:Q$65=$B14)),IF(NOT(ISNUMBER(Data!U12)),0,ABS(($F14*100)-(Data!U12-$I14)*$K14)),ABS(($F14*100)-(Data!U12-$G14)*$K14))</f>
        <v>0</v>
      </c>
      <c r="AC14" s="64">
        <f>CHOOSE($E14,SUMPRODUCT((AC15:AC$65)*($M15:$M$65)*($C15:R$65=$B14)),IF(NOT(ISNUMBER(Data!V12)),0,ABS(($F14*100)-(Data!V12-$I14)*$K14)),ABS(($F14*100)-(Data!V12-$G14)*$K14))</f>
        <v>0</v>
      </c>
      <c r="AD14" s="64">
        <f>CHOOSE($E14,SUMPRODUCT((AD15:AD$65)*($M15:$M$65)*($C15:S$65=$B14)),IF(NOT(ISNUMBER(Data!W12)),0,ABS(($F14*100)-(Data!W12-$I14)*$K14)),ABS(($F14*100)-(Data!W12-$G14)*$K14))</f>
        <v>0</v>
      </c>
      <c r="AE14" s="64">
        <f>CHOOSE($E14,SUMPRODUCT((AE15:AE$65)*($M15:$M$65)*($C15:T$65=$B14)),IF(NOT(ISNUMBER(Data!X12)),0,ABS(($F14*100)-(Data!X12-$I14)*$K14)),ABS(($F14*100)-(Data!X12-$G14)*$K14))</f>
        <v>0</v>
      </c>
      <c r="AF14" s="64">
        <f>CHOOSE($E14,SUMPRODUCT((AF15:AF$65)*($M15:$M$65)*($C15:U$65=$B14)),IF(NOT(ISNUMBER(Data!Y12)),0,ABS(($F14*100)-(Data!Y12-$I14)*$K14)),ABS(($F14*100)-(Data!Y12-$G14)*$K14))</f>
        <v>0</v>
      </c>
      <c r="AG14" s="64">
        <f>CHOOSE($E14,SUMPRODUCT((AG15:AG$65)*($M15:$M$65)*($C15:V$65=$B14)),IF(NOT(ISNUMBER(Data!Z12)),0,ABS(($F14*100)-(Data!Z12-$I14)*$K14)),ABS(($F14*100)-(Data!Z12-$G14)*$K14))</f>
        <v>0</v>
      </c>
      <c r="AH14" s="64">
        <f>CHOOSE($E14,SUMPRODUCT((AH15:AH$65)*($M15:$M$65)*($C15:W$65=$B14)),IF(NOT(ISNUMBER(Data!AA12)),0,ABS(($F14*100)-(Data!AA12-$I14)*$K14)),ABS(($F14*100)-(Data!AA12-$G14)*$K14))</f>
        <v>0</v>
      </c>
      <c r="AI14" s="64">
        <f>CHOOSE($E14,SUMPRODUCT((AI15:AI$65)*($M15:$M$65)*($C15:X$65=$B14)),IF(NOT(ISNUMBER(Data!AB12)),0,ABS(($F14*100)-(Data!AB12-$I14)*$K14)),ABS(($F14*100)-(Data!AB12-$G14)*$K14))</f>
        <v>0</v>
      </c>
      <c r="AJ14" s="64">
        <f>CHOOSE($E14,SUMPRODUCT((AJ15:AJ$65)*($M15:$M$65)*($C15:Y$65=$B14)),IF(NOT(ISNUMBER(Data!AC12)),0,ABS(($F14*100)-(Data!AC12-$I14)*$K14)),ABS(($F14*100)-(Data!AC12-$G14)*$K14))</f>
        <v>0</v>
      </c>
      <c r="AK14" s="64">
        <f>CHOOSE($E14,SUMPRODUCT((AK15:AK$65)*($M15:$M$65)*($C15:Z$65=$B14)),IF(NOT(ISNUMBER(Data!AD12)),0,ABS(($F14*100)-(Data!AD12-$I14)*$K14)),ABS(($F14*100)-(Data!AD12-$G14)*$K14))</f>
        <v>0</v>
      </c>
      <c r="AL14" s="64">
        <f>CHOOSE($E14,SUMPRODUCT((AL15:AL$65)*($M15:$M$65)*($C15:AA$65=$B14)),IF(NOT(ISNUMBER(Data!AE12)),0,ABS(($F14*100)-(Data!AE12-$I14)*$K14)),ABS(($F14*100)-(Data!AE12-$G14)*$K14))</f>
        <v>0</v>
      </c>
      <c r="AM14" s="64">
        <f>CHOOSE($E14,SUMPRODUCT((AM15:AM$65)*($M15:$M$65)*($C15:AB$65=$B14)),IF(NOT(ISNUMBER(Data!AF12)),0,ABS(($F14*100)-(Data!AF12-$I14)*$K14)),ABS(($F14*100)-(Data!AF12-$G14)*$K14))</f>
        <v>0</v>
      </c>
      <c r="AN14" s="64">
        <f>CHOOSE($E14,SUMPRODUCT((AN15:AN$65)*($M15:$M$65)*($C15:AC$65=$B14)),IF(NOT(ISNUMBER(Data!AG12)),0,ABS(($F14*100)-(Data!AG12-$I14)*$K14)),ABS(($F14*100)-(Data!AG12-$G14)*$K14))</f>
        <v>0</v>
      </c>
      <c r="AO14" s="64">
        <f>CHOOSE($E14,SUMPRODUCT((AO15:AO$65)*($M15:$M$65)*($C15:AD$65=$B14)),IF(NOT(ISNUMBER(Data!AH12)),0,ABS(($F14*100)-(Data!AH12-$I14)*$K14)),ABS(($F14*100)-(Data!AH12-$G14)*$K14))</f>
        <v>0</v>
      </c>
      <c r="AP14" s="64">
        <f>CHOOSE($E14,SUMPRODUCT((AP15:AP$65)*($M15:$M$65)*($C15:AE$65=$B14)),IF(NOT(ISNUMBER(Data!AI12)),0,ABS(($F14*100)-(Data!AI12-$I14)*$K14)),ABS(($F14*100)-(Data!AI12-$G14)*$K14))</f>
        <v>0</v>
      </c>
      <c r="AQ14" s="64">
        <f>CHOOSE($E14,SUMPRODUCT((AQ15:AQ$65)*($M15:$M$65)*($C15:AF$65=$B14)),IF(NOT(ISNUMBER(Data!AJ12)),0,ABS(($F14*100)-(Data!AJ12-$I14)*$K14)),ABS(($F14*100)-(Data!AJ12-$G14)*$K14))</f>
        <v>0</v>
      </c>
      <c r="AR14" s="64">
        <f>CHOOSE($E14,SUMPRODUCT((AR15:AR$65)*($M15:$M$65)*($C15:AG$65=$B14)),IF(NOT(ISNUMBER(Data!AK12)),0,ABS(($F14*100)-(Data!AK12-$I14)*$K14)),ABS(($F14*100)-(Data!AK12-$G14)*$K14))</f>
        <v>0</v>
      </c>
      <c r="AS14" s="64">
        <f>CHOOSE($E14,SUMPRODUCT((AS15:AS$65)*($M15:$M$65)*($C15:AH$65=$B14)),IF(NOT(ISNUMBER(Data!AL12)),0,ABS(($F14*100)-(Data!AL12-$I14)*$K14)),ABS(($F14*100)-(Data!AL12-$G14)*$K14))</f>
        <v>0</v>
      </c>
      <c r="AT14" s="64">
        <f>CHOOSE($E14,SUMPRODUCT((AT15:AT$65)*($M15:$M$65)*($C15:AI$65=$B14)),IF(NOT(ISNUMBER(Data!AM12)),0,ABS(($F14*100)-(Data!AM12-$I14)*$K14)),ABS(($F14*100)-(Data!AM12-$G14)*$K14))</f>
        <v>0</v>
      </c>
      <c r="AU14" s="64">
        <f>CHOOSE($E14,SUMPRODUCT((AU15:AU$65)*($M15:$M$65)*($C15:AJ$65=$B14)),IF(NOT(ISNUMBER(Data!AN12)),0,ABS(($F14*100)-(Data!AN12-$I14)*$K14)),ABS(($F14*100)-(Data!AN12-$G14)*$K14))</f>
        <v>0</v>
      </c>
      <c r="AV14" s="64">
        <f>CHOOSE($E14,SUMPRODUCT((AV15:AV$65)*($M15:$M$65)*($C15:AK$65=$B14)),IF(NOT(ISNUMBER(Data!AO12)),0,ABS(($F14*100)-(Data!AO12-$I14)*$K14)),ABS(($F14*100)-(Data!AO12-$G14)*$K14))</f>
        <v>0</v>
      </c>
      <c r="AW14" s="64">
        <f>CHOOSE($E14,SUMPRODUCT((AW15:AW$65)*($M15:$M$65)*($C15:AL$65=$B14)),IF(NOT(ISNUMBER(Data!AP12)),0,ABS(($F14*100)-(Data!AP12-$I14)*$K14)),ABS(($F14*100)-(Data!AP12-$G14)*$K14))</f>
        <v>0</v>
      </c>
      <c r="AX14" s="64">
        <f>CHOOSE($E14,SUMPRODUCT((AX15:AX$65)*($M15:$M$65)*($C15:AM$65=$B14)),IF(NOT(ISNUMBER(Data!AQ12)),0,ABS(($F14*100)-(Data!AQ12-$I14)*$K14)),ABS(($F14*100)-(Data!AQ12-$G14)*$K14))</f>
        <v>0</v>
      </c>
      <c r="AY14" s="64">
        <f>CHOOSE($E14,SUMPRODUCT((AY15:AY$65)*($M15:$M$65)*($C15:AN$65=$B14)),IF(NOT(ISNUMBER(Data!AR12)),0,ABS(($F14*100)-(Data!AR12-$I14)*$K14)),ABS(($F14*100)-(Data!AR12-$G14)*$K14))</f>
        <v>0</v>
      </c>
      <c r="AZ14" s="64">
        <f>CHOOSE($E14,SUMPRODUCT((AZ15:AZ$65)*($M15:$M$65)*($C15:AO$65=$B14)),IF(NOT(ISNUMBER(Data!AS12)),0,ABS(($F14*100)-(Data!AS12-$I14)*$K14)),ABS(($F14*100)-(Data!AS12-$G14)*$K14))</f>
        <v>0</v>
      </c>
      <c r="BA14" s="64">
        <f>CHOOSE($E14,SUMPRODUCT((BA15:BA$65)*($M15:$M$65)*($C15:AP$65=$B14)),IF(NOT(ISNUMBER(Data!AT12)),0,ABS(($F14*100)-(Data!AT12-$I14)*$K14)),ABS(($F14*100)-(Data!AT12-$G14)*$K14))</f>
        <v>0</v>
      </c>
      <c r="BB14" s="64">
        <f>CHOOSE($E14,SUMPRODUCT((BB15:BB$65)*($M15:$M$65)*($C15:AQ$65=$B14)),IF(NOT(ISNUMBER(Data!AU12)),0,ABS(($F14*100)-(Data!AU12-$I14)*$K14)),ABS(($F14*100)-(Data!AU12-$G14)*$K14))</f>
        <v>0</v>
      </c>
      <c r="BC14" s="64">
        <f>CHOOSE($E14,SUMPRODUCT((BC15:BC$65)*($M15:$M$65)*($C15:AR$65=$B14)),IF(NOT(ISNUMBER(Data!AV12)),0,ABS(($F14*100)-(Data!AV12-$I14)*$K14)),ABS(($F14*100)-(Data!AV12-$G14)*$K14))</f>
        <v>0</v>
      </c>
      <c r="BD14" s="64">
        <f>CHOOSE($E14,SUMPRODUCT((BD15:BD$65)*($M15:$M$65)*($C15:AS$65=$B14)),IF(NOT(ISNUMBER(Data!AW12)),0,ABS(($F14*100)-(Data!AW12-$I14)*$K14)),ABS(($F14*100)-(Data!AW12-$G14)*$K14))</f>
        <v>0</v>
      </c>
      <c r="BE14" s="64">
        <f>CHOOSE($E14,SUMPRODUCT((BE15:BE$65)*($M15:$M$65)*($C15:AT$65=$B14)),IF(NOT(ISNUMBER(Data!AX12)),0,ABS(($F14*100)-(Data!AX12-$I14)*$K14)),ABS(($F14*100)-(Data!AX12-$G14)*$K14))</f>
        <v>0</v>
      </c>
      <c r="BF14" s="64">
        <f>CHOOSE($E14,SUMPRODUCT((BF15:BF$65)*($M15:$M$65)*($C15:AU$65=$B14)),IF(NOT(ISNUMBER(Data!AY12)),0,ABS(($F14*100)-(Data!AY12-$I14)*$K14)),ABS(($F14*100)-(Data!AY12-$G14)*$K14))</f>
        <v>0</v>
      </c>
      <c r="BG14" s="64">
        <f>CHOOSE($E14,SUMPRODUCT((BG15:BG$65)*($M15:$M$65)*($C15:AV$65=$B14)),IF(NOT(ISNUMBER(Data!AZ12)),0,ABS(($F14*100)-(Data!AZ12-$I14)*$K14)),ABS(($F14*100)-(Data!AZ12-$G14)*$K14))</f>
        <v>0</v>
      </c>
      <c r="BH14" s="64">
        <f>CHOOSE($E14,SUMPRODUCT((BH15:BH$65)*($M15:$M$65)*($C15:AW$65=$B14)),IF(NOT(ISNUMBER(Data!BA12)),0,ABS(($F14*100)-(Data!BA12-$I14)*$K14)),ABS(($F14*100)-(Data!BA12-$G14)*$K14))</f>
        <v>0</v>
      </c>
      <c r="BI14" s="64">
        <f>CHOOSE($E14,SUMPRODUCT((BI15:BI$65)*($M15:$M$65)*($C15:AX$65=$B14)),IF(NOT(ISNUMBER(Data!BB12)),0,ABS(($F14*100)-(Data!BB12-$I14)*$K14)),ABS(($F14*100)-(Data!BB12-$G14)*$K14))</f>
        <v>0</v>
      </c>
      <c r="BJ14" s="64">
        <f>CHOOSE($E14,SUMPRODUCT((BJ15:BJ$65)*($M15:$M$65)*($C15:AY$65=$B14)),IF(NOT(ISNUMBER(Data!BC12)),0,ABS(($F14*100)-(Data!BC12-$I14)*$K14)),ABS(($F14*100)-(Data!BC12-$G14)*$K14))</f>
        <v>0</v>
      </c>
      <c r="BK14" s="64">
        <f>CHOOSE($E14,SUMPRODUCT((BK15:BK$65)*($M15:$M$65)*($C15:AZ$65=$B14)),IF(NOT(ISNUMBER(Data!BD12)),0,ABS(($F14*100)-(Data!BD12-$I14)*$K14)),ABS(($F14*100)-(Data!BD12-$G14)*$K14))</f>
        <v>0</v>
      </c>
      <c r="BM14" s="65"/>
    </row>
    <row r="15" s="22" customFormat="1" spans="1:65">
      <c r="A15" s="24"/>
      <c r="B15" s="24" t="str">
        <f>tblIndicators!B8</f>
        <v>DIGSEC_IP_04</v>
      </c>
      <c r="C15" s="24" t="str">
        <f>tblIndicators!C8</f>
        <v>DIGSEC_IP</v>
      </c>
      <c r="D15" s="52">
        <f>tblIndicators!D8</f>
        <v>3</v>
      </c>
      <c r="E15" s="52">
        <f>tblIndicators!M8</f>
        <v>3</v>
      </c>
      <c r="F15" s="52">
        <f>tblIndicators!N8</f>
        <v>0</v>
      </c>
      <c r="G15" s="52">
        <f>tblIndicators!Q8</f>
        <v>0</v>
      </c>
      <c r="H15" s="52">
        <f>tblIndicators!R8</f>
        <v>2</v>
      </c>
      <c r="I15" s="52" t="str">
        <f>IF($E15=2,MIN(Data!G13:BD13),"")</f>
        <v/>
      </c>
      <c r="J15" s="52" t="str">
        <f>IF($E15=2,MAX(Data!G13:BD13),"")</f>
        <v/>
      </c>
      <c r="K15" s="54">
        <f t="shared" si="2"/>
        <v>50</v>
      </c>
      <c r="L15" s="62" t="str">
        <f>tblIndicators!Z8</f>
        <v>1.1.4) Public-private partnerships</v>
      </c>
      <c r="M15" s="63">
        <f>tblIndicators!AC8</f>
        <v>0.2</v>
      </c>
      <c r="N15" s="64">
        <f>CHOOSE($E15,SUMPRODUCT((N16:N$65)*($M16:$M$65)*($C16:C$65=$B15)),IF(NOT(ISNUMBER(Data!G13)),0,ABS(($F15*100)-(Data!G13-$I15)*$K15)),ABS(($F15*100)-(Data!G13-$G15)*$K15))</f>
        <v>50</v>
      </c>
      <c r="O15" s="64">
        <f>CHOOSE($E15,SUMPRODUCT((O16:O$65)*($M16:$M$65)*($C16:D$65=$B15)),IF(NOT(ISNUMBER(Data!H13)),0,ABS(($F15*100)-(Data!H13-$I15)*$K15)),ABS(($F15*100)-(Data!H13-$G15)*$K15))</f>
        <v>50</v>
      </c>
      <c r="P15" s="64">
        <f>CHOOSE($E15,SUMPRODUCT((P16:P$65)*($M16:$M$65)*($C16:E$65=$B15)),IF(NOT(ISNUMBER(Data!I13)),0,ABS(($F15*100)-(Data!I13-$I15)*$K15)),ABS(($F15*100)-(Data!I13-$G15)*$K15))</f>
        <v>0</v>
      </c>
      <c r="Q15" s="64">
        <f>CHOOSE($E15,SUMPRODUCT((Q16:Q$65)*($M16:$M$65)*($C16:F$65=$B15)),IF(NOT(ISNUMBER(Data!J13)),0,ABS(($F15*100)-(Data!J13-$I15)*$K15)),ABS(($F15*100)-(Data!J13-$G15)*$K15))</f>
        <v>50</v>
      </c>
      <c r="R15" s="64">
        <f>CHOOSE($E15,SUMPRODUCT((R16:R$65)*($M16:$M$65)*($C16:G$65=$B15)),IF(NOT(ISNUMBER(Data!K13)),0,ABS(($F15*100)-(Data!K13-$I15)*$K15)),ABS(($F15*100)-(Data!K13-$G15)*$K15))</f>
        <v>50</v>
      </c>
      <c r="S15" s="64">
        <f>CHOOSE($E15,SUMPRODUCT((S16:S$65)*($M16:$M$65)*($C16:H$65=$B15)),IF(NOT(ISNUMBER(Data!L13)),0,ABS(($F15*100)-(Data!L13-$I15)*$K15)),ABS(($F15*100)-(Data!L13-$G15)*$K15))</f>
        <v>50</v>
      </c>
      <c r="T15" s="64">
        <f>CHOOSE($E15,SUMPRODUCT((T16:T$65)*($M16:$M$65)*($C16:I$65=$B15)),IF(NOT(ISNUMBER(Data!M13)),0,ABS(($F15*100)-(Data!M13-$I15)*$K15)),ABS(($F15*100)-(Data!M13-$G15)*$K15))</f>
        <v>50</v>
      </c>
      <c r="U15" s="64">
        <f>CHOOSE($E15,SUMPRODUCT((U16:U$65)*($M16:$M$65)*($C16:J$65=$B15)),IF(NOT(ISNUMBER(Data!N13)),0,ABS(($F15*100)-(Data!N13-$I15)*$K15)),ABS(($F15*100)-(Data!N13-$G15)*$K15))</f>
        <v>50</v>
      </c>
      <c r="V15" s="64">
        <f>CHOOSE($E15,SUMPRODUCT((V16:V$65)*($M16:$M$65)*($C16:K$65=$B15)),IF(NOT(ISNUMBER(Data!O13)),0,ABS(($F15*100)-(Data!O13-$I15)*$K15)),ABS(($F15*100)-(Data!O13-$G15)*$K15))</f>
        <v>100</v>
      </c>
      <c r="W15" s="64">
        <f>CHOOSE($E15,SUMPRODUCT((W16:W$65)*($M16:$M$65)*($C16:L$65=$B15)),IF(NOT(ISNUMBER(Data!P13)),0,ABS(($F15*100)-(Data!P13-$I15)*$K15)),ABS(($F15*100)-(Data!P13-$G15)*$K15))</f>
        <v>50</v>
      </c>
      <c r="X15" s="64">
        <f>CHOOSE($E15,SUMPRODUCT((X16:X$65)*($M16:$M$65)*($C16:M$65=$B15)),IF(NOT(ISNUMBER(Data!Q13)),0,ABS(($F15*100)-(Data!Q13-$I15)*$K15)),ABS(($F15*100)-(Data!Q13-$G15)*$K15))</f>
        <v>50</v>
      </c>
      <c r="Y15" s="64">
        <f>CHOOSE($E15,SUMPRODUCT((Y16:Y$65)*($M16:$M$65)*($C16:N$65=$B15)),IF(NOT(ISNUMBER(Data!R13)),0,ABS(($F15*100)-(Data!R13-$I15)*$K15)),ABS(($F15*100)-(Data!R13-$G15)*$K15))</f>
        <v>50</v>
      </c>
      <c r="Z15" s="64">
        <f>CHOOSE($E15,SUMPRODUCT((Z16:Z$65)*($M16:$M$65)*($C16:O$65=$B15)),IF(NOT(ISNUMBER(Data!S13)),0,ABS(($F15*100)-(Data!S13-$I15)*$K15)),ABS(($F15*100)-(Data!S13-$G15)*$K15))</f>
        <v>50</v>
      </c>
      <c r="AA15" s="64">
        <f>CHOOSE($E15,SUMPRODUCT((AA16:AA$65)*($M16:$M$65)*($C16:P$65=$B15)),IF(NOT(ISNUMBER(Data!T13)),0,ABS(($F15*100)-(Data!T13-$I15)*$K15)),ABS(($F15*100)-(Data!T13-$G15)*$K15))</f>
        <v>100</v>
      </c>
      <c r="AB15" s="64">
        <f>CHOOSE($E15,SUMPRODUCT((AB16:AB$65)*($M16:$M$65)*($C16:Q$65=$B15)),IF(NOT(ISNUMBER(Data!U13)),0,ABS(($F15*100)-(Data!U13-$I15)*$K15)),ABS(($F15*100)-(Data!U13-$G15)*$K15))</f>
        <v>50</v>
      </c>
      <c r="AC15" s="64">
        <f>CHOOSE($E15,SUMPRODUCT((AC16:AC$65)*($M16:$M$65)*($C16:R$65=$B15)),IF(NOT(ISNUMBER(Data!V13)),0,ABS(($F15*100)-(Data!V13-$I15)*$K15)),ABS(($F15*100)-(Data!V13-$G15)*$K15))</f>
        <v>50</v>
      </c>
      <c r="AD15" s="64">
        <f>CHOOSE($E15,SUMPRODUCT((AD16:AD$65)*($M16:$M$65)*($C16:S$65=$B15)),IF(NOT(ISNUMBER(Data!W13)),0,ABS(($F15*100)-(Data!W13-$I15)*$K15)),ABS(($F15*100)-(Data!W13-$G15)*$K15))</f>
        <v>50</v>
      </c>
      <c r="AE15" s="64">
        <f>CHOOSE($E15,SUMPRODUCT((AE16:AE$65)*($M16:$M$65)*($C16:T$65=$B15)),IF(NOT(ISNUMBER(Data!X13)),0,ABS(($F15*100)-(Data!X13-$I15)*$K15)),ABS(($F15*100)-(Data!X13-$G15)*$K15))</f>
        <v>100</v>
      </c>
      <c r="AF15" s="64">
        <f>CHOOSE($E15,SUMPRODUCT((AF16:AF$65)*($M16:$M$65)*($C16:U$65=$B15)),IF(NOT(ISNUMBER(Data!Y13)),0,ABS(($F15*100)-(Data!Y13-$I15)*$K15)),ABS(($F15*100)-(Data!Y13-$G15)*$K15))</f>
        <v>50</v>
      </c>
      <c r="AG15" s="64">
        <f>CHOOSE($E15,SUMPRODUCT((AG16:AG$65)*($M16:$M$65)*($C16:V$65=$B15)),IF(NOT(ISNUMBER(Data!Z13)),0,ABS(($F15*100)-(Data!Z13-$I15)*$K15)),ABS(($F15*100)-(Data!Z13-$G15)*$K15))</f>
        <v>50</v>
      </c>
      <c r="AH15" s="64">
        <f>CHOOSE($E15,SUMPRODUCT((AH16:AH$65)*($M16:$M$65)*($C16:W$65=$B15)),IF(NOT(ISNUMBER(Data!AA13)),0,ABS(($F15*100)-(Data!AA13-$I15)*$K15)),ABS(($F15*100)-(Data!AA13-$G15)*$K15))</f>
        <v>50</v>
      </c>
      <c r="AI15" s="64">
        <f>CHOOSE($E15,SUMPRODUCT((AI16:AI$65)*($M16:$M$65)*($C16:X$65=$B15)),IF(NOT(ISNUMBER(Data!AB13)),0,ABS(($F15*100)-(Data!AB13-$I15)*$K15)),ABS(($F15*100)-(Data!AB13-$G15)*$K15))</f>
        <v>50</v>
      </c>
      <c r="AJ15" s="64">
        <f>CHOOSE($E15,SUMPRODUCT((AJ16:AJ$65)*($M16:$M$65)*($C16:Y$65=$B15)),IF(NOT(ISNUMBER(Data!AC13)),0,ABS(($F15*100)-(Data!AC13-$I15)*$K15)),ABS(($F15*100)-(Data!AC13-$G15)*$K15))</f>
        <v>50</v>
      </c>
      <c r="AK15" s="64">
        <f>CHOOSE($E15,SUMPRODUCT((AK16:AK$65)*($M16:$M$65)*($C16:Z$65=$B15)),IF(NOT(ISNUMBER(Data!AD13)),0,ABS(($F15*100)-(Data!AD13-$I15)*$K15)),ABS(($F15*100)-(Data!AD13-$G15)*$K15))</f>
        <v>100</v>
      </c>
      <c r="AL15" s="64">
        <f>CHOOSE($E15,SUMPRODUCT((AL16:AL$65)*($M16:$M$65)*($C16:AA$65=$B15)),IF(NOT(ISNUMBER(Data!AE13)),0,ABS(($F15*100)-(Data!AE13-$I15)*$K15)),ABS(($F15*100)-(Data!AE13-$G15)*$K15))</f>
        <v>100</v>
      </c>
      <c r="AM15" s="64">
        <f>CHOOSE($E15,SUMPRODUCT((AM16:AM$65)*($M16:$M$65)*($C16:AB$65=$B15)),IF(NOT(ISNUMBER(Data!AF13)),0,ABS(($F15*100)-(Data!AF13-$I15)*$K15)),ABS(($F15*100)-(Data!AF13-$G15)*$K15))</f>
        <v>0</v>
      </c>
      <c r="AN15" s="64">
        <f>CHOOSE($E15,SUMPRODUCT((AN16:AN$65)*($M16:$M$65)*($C16:AC$65=$B15)),IF(NOT(ISNUMBER(Data!AG13)),0,ABS(($F15*100)-(Data!AG13-$I15)*$K15)),ABS(($F15*100)-(Data!AG13-$G15)*$K15))</f>
        <v>0</v>
      </c>
      <c r="AO15" s="64">
        <f>CHOOSE($E15,SUMPRODUCT((AO16:AO$65)*($M16:$M$65)*($C16:AD$65=$B15)),IF(NOT(ISNUMBER(Data!AH13)),0,ABS(($F15*100)-(Data!AH13-$I15)*$K15)),ABS(($F15*100)-(Data!AH13-$G15)*$K15))</f>
        <v>100</v>
      </c>
      <c r="AP15" s="64">
        <f>CHOOSE($E15,SUMPRODUCT((AP16:AP$65)*($M16:$M$65)*($C16:AE$65=$B15)),IF(NOT(ISNUMBER(Data!AI13)),0,ABS(($F15*100)-(Data!AI13-$I15)*$K15)),ABS(($F15*100)-(Data!AI13-$G15)*$K15))</f>
        <v>50</v>
      </c>
      <c r="AQ15" s="64">
        <f>CHOOSE($E15,SUMPRODUCT((AQ16:AQ$65)*($M16:$M$65)*($C16:AF$65=$B15)),IF(NOT(ISNUMBER(Data!AJ13)),0,ABS(($F15*100)-(Data!AJ13-$I15)*$K15)),ABS(($F15*100)-(Data!AJ13-$G15)*$K15))</f>
        <v>100</v>
      </c>
      <c r="AR15" s="64">
        <f>CHOOSE($E15,SUMPRODUCT((AR16:AR$65)*($M16:$M$65)*($C16:AG$65=$B15)),IF(NOT(ISNUMBER(Data!AK13)),0,ABS(($F15*100)-(Data!AK13-$I15)*$K15)),ABS(($F15*100)-(Data!AK13-$G15)*$K15))</f>
        <v>50</v>
      </c>
      <c r="AS15" s="64">
        <f>CHOOSE($E15,SUMPRODUCT((AS16:AS$65)*($M16:$M$65)*($C16:AH$65=$B15)),IF(NOT(ISNUMBER(Data!AL13)),0,ABS(($F15*100)-(Data!AL13-$I15)*$K15)),ABS(($F15*100)-(Data!AL13-$G15)*$K15))</f>
        <v>0</v>
      </c>
      <c r="AT15" s="64">
        <f>CHOOSE($E15,SUMPRODUCT((AT16:AT$65)*($M16:$M$65)*($C16:AI$65=$B15)),IF(NOT(ISNUMBER(Data!AM13)),0,ABS(($F15*100)-(Data!AM13-$I15)*$K15)),ABS(($F15*100)-(Data!AM13-$G15)*$K15))</f>
        <v>50</v>
      </c>
      <c r="AU15" s="64">
        <f>CHOOSE($E15,SUMPRODUCT((AU16:AU$65)*($M16:$M$65)*($C16:AJ$65=$B15)),IF(NOT(ISNUMBER(Data!AN13)),0,ABS(($F15*100)-(Data!AN13-$I15)*$K15)),ABS(($F15*100)-(Data!AN13-$G15)*$K15))</f>
        <v>50</v>
      </c>
      <c r="AV15" s="64">
        <f>CHOOSE($E15,SUMPRODUCT((AV16:AV$65)*($M16:$M$65)*($C16:AK$65=$B15)),IF(NOT(ISNUMBER(Data!AO13)),0,ABS(($F15*100)-(Data!AO13-$I15)*$K15)),ABS(($F15*100)-(Data!AO13-$G15)*$K15))</f>
        <v>50</v>
      </c>
      <c r="AW15" s="64">
        <f>CHOOSE($E15,SUMPRODUCT((AW16:AW$65)*($M16:$M$65)*($C16:AL$65=$B15)),IF(NOT(ISNUMBER(Data!AP13)),0,ABS(($F15*100)-(Data!AP13-$I15)*$K15)),ABS(($F15*100)-(Data!AP13-$G15)*$K15))</f>
        <v>0</v>
      </c>
      <c r="AX15" s="64">
        <f>CHOOSE($E15,SUMPRODUCT((AX16:AX$65)*($M16:$M$65)*($C16:AM$65=$B15)),IF(NOT(ISNUMBER(Data!AQ13)),0,ABS(($F15*100)-(Data!AQ13-$I15)*$K15)),ABS(($F15*100)-(Data!AQ13-$G15)*$K15))</f>
        <v>50</v>
      </c>
      <c r="AY15" s="64">
        <f>CHOOSE($E15,SUMPRODUCT((AY16:AY$65)*($M16:$M$65)*($C16:AN$65=$B15)),IF(NOT(ISNUMBER(Data!AR13)),0,ABS(($F15*100)-(Data!AR13-$I15)*$K15)),ABS(($F15*100)-(Data!AR13-$G15)*$K15))</f>
        <v>50</v>
      </c>
      <c r="AZ15" s="64">
        <f>CHOOSE($E15,SUMPRODUCT((AZ16:AZ$65)*($M16:$M$65)*($C16:AO$65=$B15)),IF(NOT(ISNUMBER(Data!AS13)),0,ABS(($F15*100)-(Data!AS13-$I15)*$K15)),ABS(($F15*100)-(Data!AS13-$G15)*$K15))</f>
        <v>50</v>
      </c>
      <c r="BA15" s="64">
        <f>CHOOSE($E15,SUMPRODUCT((BA16:BA$65)*($M16:$M$65)*($C16:AP$65=$B15)),IF(NOT(ISNUMBER(Data!AT13)),0,ABS(($F15*100)-(Data!AT13-$I15)*$K15)),ABS(($F15*100)-(Data!AT13-$G15)*$K15))</f>
        <v>50</v>
      </c>
      <c r="BB15" s="64">
        <f>CHOOSE($E15,SUMPRODUCT((BB16:BB$65)*($M16:$M$65)*($C16:AQ$65=$B15)),IF(NOT(ISNUMBER(Data!AU13)),0,ABS(($F15*100)-(Data!AU13-$I15)*$K15)),ABS(($F15*100)-(Data!AU13-$G15)*$K15))</f>
        <v>50</v>
      </c>
      <c r="BC15" s="64">
        <f>CHOOSE($E15,SUMPRODUCT((BC16:BC$65)*($M16:$M$65)*($C16:AR$65=$B15)),IF(NOT(ISNUMBER(Data!AV13)),0,ABS(($F15*100)-(Data!AV13-$I15)*$K15)),ABS(($F15*100)-(Data!AV13-$G15)*$K15))</f>
        <v>50</v>
      </c>
      <c r="BD15" s="64">
        <f>CHOOSE($E15,SUMPRODUCT((BD16:BD$65)*($M16:$M$65)*($C16:AS$65=$B15)),IF(NOT(ISNUMBER(Data!AW13)),0,ABS(($F15*100)-(Data!AW13-$I15)*$K15)),ABS(($F15*100)-(Data!AW13-$G15)*$K15))</f>
        <v>50</v>
      </c>
      <c r="BE15" s="64">
        <f>CHOOSE($E15,SUMPRODUCT((BE16:BE$65)*($M16:$M$65)*($C16:AT$65=$B15)),IF(NOT(ISNUMBER(Data!AX13)),0,ABS(($F15*100)-(Data!AX13-$I15)*$K15)),ABS(($F15*100)-(Data!AX13-$G15)*$K15))</f>
        <v>50</v>
      </c>
      <c r="BF15" s="64">
        <f>CHOOSE($E15,SUMPRODUCT((BF16:BF$65)*($M16:$M$65)*($C16:AU$65=$B15)),IF(NOT(ISNUMBER(Data!AY13)),0,ABS(($F15*100)-(Data!AY13-$I15)*$K15)),ABS(($F15*100)-(Data!AY13-$G15)*$K15))</f>
        <v>50</v>
      </c>
      <c r="BG15" s="64">
        <f>CHOOSE($E15,SUMPRODUCT((BG16:BG$65)*($M16:$M$65)*($C16:AV$65=$B15)),IF(NOT(ISNUMBER(Data!AZ13)),0,ABS(($F15*100)-(Data!AZ13-$I15)*$K15)),ABS(($F15*100)-(Data!AZ13-$G15)*$K15))</f>
        <v>50</v>
      </c>
      <c r="BH15" s="64">
        <f>CHOOSE($E15,SUMPRODUCT((BH16:BH$65)*($M16:$M$65)*($C16:AW$65=$B15)),IF(NOT(ISNUMBER(Data!BA13)),0,ABS(($F15*100)-(Data!BA13-$I15)*$K15)),ABS(($F15*100)-(Data!BA13-$G15)*$K15))</f>
        <v>0</v>
      </c>
      <c r="BI15" s="64">
        <f>CHOOSE($E15,SUMPRODUCT((BI16:BI$65)*($M16:$M$65)*($C16:AX$65=$B15)),IF(NOT(ISNUMBER(Data!BB13)),0,ABS(($F15*100)-(Data!BB13-$I15)*$K15)),ABS(($F15*100)-(Data!BB13-$G15)*$K15))</f>
        <v>50</v>
      </c>
      <c r="BJ15" s="64">
        <f>CHOOSE($E15,SUMPRODUCT((BJ16:BJ$65)*($M16:$M$65)*($C16:AY$65=$B15)),IF(NOT(ISNUMBER(Data!BC13)),0,ABS(($F15*100)-(Data!BC13-$I15)*$K15)),ABS(($F15*100)-(Data!BC13-$G15)*$K15))</f>
        <v>0</v>
      </c>
      <c r="BK15" s="64">
        <f>CHOOSE($E15,SUMPRODUCT((BK16:BK$65)*($M16:$M$65)*($C16:AZ$65=$B15)),IF(NOT(ISNUMBER(Data!BD13)),0,ABS(($F15*100)-(Data!BD13-$I15)*$K15)),ABS(($F15*100)-(Data!BD13-$G15)*$K15))</f>
        <v>50</v>
      </c>
      <c r="BM15" s="65"/>
    </row>
    <row r="16" s="22" customFormat="1" spans="1:65">
      <c r="A16" s="24"/>
      <c r="B16" s="24" t="str">
        <f>tblIndicators!B9</f>
        <v>DIGSEC_IP_05</v>
      </c>
      <c r="C16" s="24" t="str">
        <f>tblIndicators!C9</f>
        <v>DIGSEC_IP</v>
      </c>
      <c r="D16" s="52">
        <f>tblIndicators!D9</f>
        <v>3</v>
      </c>
      <c r="E16" s="52">
        <f>tblIndicators!M9</f>
        <v>3</v>
      </c>
      <c r="F16" s="52">
        <f>tblIndicators!N9</f>
        <v>0</v>
      </c>
      <c r="G16" s="52">
        <f>tblIndicators!Q9</f>
        <v>0</v>
      </c>
      <c r="H16" s="52">
        <f>tblIndicators!R9</f>
        <v>100</v>
      </c>
      <c r="I16" s="52" t="str">
        <f>IF($E16=2,MIN(Data!G14:BD14),"")</f>
        <v/>
      </c>
      <c r="J16" s="52" t="str">
        <f>IF($E16=2,MAX(Data!G14:BD14),"")</f>
        <v/>
      </c>
      <c r="K16" s="54">
        <f t="shared" si="2"/>
        <v>1</v>
      </c>
      <c r="L16" s="62" t="str">
        <f>tblIndicators!Z9</f>
        <v>1.1.5) Level of technology employed</v>
      </c>
      <c r="M16" s="63">
        <f>tblIndicators!AC9</f>
        <v>0.2</v>
      </c>
      <c r="N16" s="64">
        <f>CHOOSE($E16,SUMPRODUCT((N17:N$65)*($M17:$M$65)*($C17:C$65=$B16)),IF(NOT(ISNUMBER(Data!G14)),0,ABS(($F16*100)-(Data!G14-$I16)*$K16)),ABS(($F16*100)-(Data!G14-$G16)*$K16))</f>
        <v>100</v>
      </c>
      <c r="O16" s="64">
        <f>CHOOSE($E16,SUMPRODUCT((O17:O$65)*($M17:$M$65)*($C17:D$65=$B16)),IF(NOT(ISNUMBER(Data!H14)),0,ABS(($F16*100)-(Data!H14-$I16)*$K16)),ABS(($F16*100)-(Data!H14-$G16)*$K16))</f>
        <v>75</v>
      </c>
      <c r="P16" s="64">
        <f>CHOOSE($E16,SUMPRODUCT((P17:P$65)*($M17:$M$65)*($C17:E$65=$B16)),IF(NOT(ISNUMBER(Data!I14)),0,ABS(($F16*100)-(Data!I14-$I16)*$K16)),ABS(($F16*100)-(Data!I14-$G16)*$K16))</f>
        <v>75</v>
      </c>
      <c r="Q16" s="64">
        <f>CHOOSE($E16,SUMPRODUCT((Q17:Q$65)*($M17:$M$65)*($C17:F$65=$B16)),IF(NOT(ISNUMBER(Data!J14)),0,ABS(($F16*100)-(Data!J14-$I16)*$K16)),ABS(($F16*100)-(Data!J14-$G16)*$K16))</f>
        <v>75</v>
      </c>
      <c r="R16" s="64">
        <f>CHOOSE($E16,SUMPRODUCT((R17:R$65)*($M17:$M$65)*($C17:G$65=$B16)),IF(NOT(ISNUMBER(Data!K14)),0,ABS(($F16*100)-(Data!K14-$I16)*$K16)),ABS(($F16*100)-(Data!K14-$G16)*$K16))</f>
        <v>75</v>
      </c>
      <c r="S16" s="64">
        <f>CHOOSE($E16,SUMPRODUCT((S17:S$65)*($M17:$M$65)*($C17:H$65=$B16)),IF(NOT(ISNUMBER(Data!L14)),0,ABS(($F16*100)-(Data!L14-$I16)*$K16)),ABS(($F16*100)-(Data!L14-$G16)*$K16))</f>
        <v>100</v>
      </c>
      <c r="T16" s="64">
        <f>CHOOSE($E16,SUMPRODUCT((T17:T$65)*($M17:$M$65)*($C17:I$65=$B16)),IF(NOT(ISNUMBER(Data!M14)),0,ABS(($F16*100)-(Data!M14-$I16)*$K16)),ABS(($F16*100)-(Data!M14-$G16)*$K16))</f>
        <v>100</v>
      </c>
      <c r="U16" s="64">
        <f>CHOOSE($E16,SUMPRODUCT((U17:U$65)*($M17:$M$65)*($C17:J$65=$B16)),IF(NOT(ISNUMBER(Data!N14)),0,ABS(($F16*100)-(Data!N14-$I16)*$K16)),ABS(($F16*100)-(Data!N14-$G16)*$K16))</f>
        <v>100</v>
      </c>
      <c r="V16" s="64">
        <f>CHOOSE($E16,SUMPRODUCT((V17:V$65)*($M17:$M$65)*($C17:K$65=$B16)),IF(NOT(ISNUMBER(Data!O14)),0,ABS(($F16*100)-(Data!O14-$I16)*$K16)),ABS(($F16*100)-(Data!O14-$G16)*$K16))</f>
        <v>100</v>
      </c>
      <c r="W16" s="64">
        <f>CHOOSE($E16,SUMPRODUCT((W17:W$65)*($M17:$M$65)*($C17:L$65=$B16)),IF(NOT(ISNUMBER(Data!P14)),0,ABS(($F16*100)-(Data!P14-$I16)*$K16)),ABS(($F16*100)-(Data!P14-$G16)*$K16))</f>
        <v>100</v>
      </c>
      <c r="X16" s="64">
        <f>CHOOSE($E16,SUMPRODUCT((X17:X$65)*($M17:$M$65)*($C17:M$65=$B16)),IF(NOT(ISNUMBER(Data!Q14)),0,ABS(($F16*100)-(Data!Q14-$I16)*$K16)),ABS(($F16*100)-(Data!Q14-$G16)*$K16))</f>
        <v>75</v>
      </c>
      <c r="Y16" s="64">
        <f>CHOOSE($E16,SUMPRODUCT((Y17:Y$65)*($M17:$M$65)*($C17:N$65=$B16)),IF(NOT(ISNUMBER(Data!R14)),0,ABS(($F16*100)-(Data!R14-$I16)*$K16)),ABS(($F16*100)-(Data!R14-$G16)*$K16))</f>
        <v>75</v>
      </c>
      <c r="Z16" s="64">
        <f>CHOOSE($E16,SUMPRODUCT((Z17:Z$65)*($M17:$M$65)*($C17:O$65=$B16)),IF(NOT(ISNUMBER(Data!S14)),0,ABS(($F16*100)-(Data!S14-$I16)*$K16)),ABS(($F16*100)-(Data!S14-$G16)*$K16))</f>
        <v>75</v>
      </c>
      <c r="AA16" s="64">
        <f>CHOOSE($E16,SUMPRODUCT((AA17:AA$65)*($M17:$M$65)*($C17:P$65=$B16)),IF(NOT(ISNUMBER(Data!T14)),0,ABS(($F16*100)-(Data!T14-$I16)*$K16)),ABS(($F16*100)-(Data!T14-$G16)*$K16))</f>
        <v>100</v>
      </c>
      <c r="AB16" s="64">
        <f>CHOOSE($E16,SUMPRODUCT((AB17:AB$65)*($M17:$M$65)*($C17:Q$65=$B16)),IF(NOT(ISNUMBER(Data!U14)),0,ABS(($F16*100)-(Data!U14-$I16)*$K16)),ABS(($F16*100)-(Data!U14-$G16)*$K16))</f>
        <v>100</v>
      </c>
      <c r="AC16" s="64">
        <f>CHOOSE($E16,SUMPRODUCT((AC17:AC$65)*($M17:$M$65)*($C17:R$65=$B16)),IF(NOT(ISNUMBER(Data!V14)),0,ABS(($F16*100)-(Data!V14-$I16)*$K16)),ABS(($F16*100)-(Data!V14-$G16)*$K16))</f>
        <v>100</v>
      </c>
      <c r="AD16" s="64">
        <f>CHOOSE($E16,SUMPRODUCT((AD17:AD$65)*($M17:$M$65)*($C17:S$65=$B16)),IF(NOT(ISNUMBER(Data!W14)),0,ABS(($F16*100)-(Data!W14-$I16)*$K16)),ABS(($F16*100)-(Data!W14-$G16)*$K16))</f>
        <v>100</v>
      </c>
      <c r="AE16" s="64">
        <f>CHOOSE($E16,SUMPRODUCT((AE17:AE$65)*($M17:$M$65)*($C17:T$65=$B16)),IF(NOT(ISNUMBER(Data!X14)),0,ABS(($F16*100)-(Data!X14-$I16)*$K16)),ABS(($F16*100)-(Data!X14-$G16)*$K16))</f>
        <v>100</v>
      </c>
      <c r="AF16" s="64">
        <f>CHOOSE($E16,SUMPRODUCT((AF17:AF$65)*($M17:$M$65)*($C17:U$65=$B16)),IF(NOT(ISNUMBER(Data!Y14)),0,ABS(($F16*100)-(Data!Y14-$I16)*$K16)),ABS(($F16*100)-(Data!Y14-$G16)*$K16))</f>
        <v>75</v>
      </c>
      <c r="AG16" s="64">
        <f>CHOOSE($E16,SUMPRODUCT((AG17:AG$65)*($M17:$M$65)*($C17:V$65=$B16)),IF(NOT(ISNUMBER(Data!Z14)),0,ABS(($F16*100)-(Data!Z14-$I16)*$K16)),ABS(($F16*100)-(Data!Z14-$G16)*$K16))</f>
        <v>75</v>
      </c>
      <c r="AH16" s="64">
        <f>CHOOSE($E16,SUMPRODUCT((AH17:AH$65)*($M17:$M$65)*($C17:W$65=$B16)),IF(NOT(ISNUMBER(Data!AA14)),0,ABS(($F16*100)-(Data!AA14-$I16)*$K16)),ABS(($F16*100)-(Data!AA14-$G16)*$K16))</f>
        <v>75</v>
      </c>
      <c r="AI16" s="64">
        <f>CHOOSE($E16,SUMPRODUCT((AI17:AI$65)*($M17:$M$65)*($C17:X$65=$B16)),IF(NOT(ISNUMBER(Data!AB14)),0,ABS(($F16*100)-(Data!AB14-$I16)*$K16)),ABS(($F16*100)-(Data!AB14-$G16)*$K16))</f>
        <v>75</v>
      </c>
      <c r="AJ16" s="64">
        <f>CHOOSE($E16,SUMPRODUCT((AJ17:AJ$65)*($M17:$M$65)*($C17:Y$65=$B16)),IF(NOT(ISNUMBER(Data!AC14)),0,ABS(($F16*100)-(Data!AC14-$I16)*$K16)),ABS(($F16*100)-(Data!AC14-$G16)*$K16))</f>
        <v>75</v>
      </c>
      <c r="AK16" s="64">
        <f>CHOOSE($E16,SUMPRODUCT((AK17:AK$65)*($M17:$M$65)*($C17:Z$65=$B16)),IF(NOT(ISNUMBER(Data!AD14)),0,ABS(($F16*100)-(Data!AD14-$I16)*$K16)),ABS(($F16*100)-(Data!AD14-$G16)*$K16))</f>
        <v>75</v>
      </c>
      <c r="AL16" s="64">
        <f>CHOOSE($E16,SUMPRODUCT((AL17:AL$65)*($M17:$M$65)*($C17:AA$65=$B16)),IF(NOT(ISNUMBER(Data!AE14)),0,ABS(($F16*100)-(Data!AE14-$I16)*$K16)),ABS(($F16*100)-(Data!AE14-$G16)*$K16))</f>
        <v>75</v>
      </c>
      <c r="AM16" s="64">
        <f>CHOOSE($E16,SUMPRODUCT((AM17:AM$65)*($M17:$M$65)*($C17:AB$65=$B16)),IF(NOT(ISNUMBER(Data!AF14)),0,ABS(($F16*100)-(Data!AF14-$I16)*$K16)),ABS(($F16*100)-(Data!AF14-$G16)*$K16))</f>
        <v>75</v>
      </c>
      <c r="AN16" s="64">
        <f>CHOOSE($E16,SUMPRODUCT((AN17:AN$65)*($M17:$M$65)*($C17:AC$65=$B16)),IF(NOT(ISNUMBER(Data!AG14)),0,ABS(($F16*100)-(Data!AG14-$I16)*$K16)),ABS(($F16*100)-(Data!AG14-$G16)*$K16))</f>
        <v>50</v>
      </c>
      <c r="AO16" s="64">
        <f>CHOOSE($E16,SUMPRODUCT((AO17:AO$65)*($M17:$M$65)*($C17:AD$65=$B16)),IF(NOT(ISNUMBER(Data!AH14)),0,ABS(($F16*100)-(Data!AH14-$I16)*$K16)),ABS(($F16*100)-(Data!AH14-$G16)*$K16))</f>
        <v>100</v>
      </c>
      <c r="AP16" s="64">
        <f>CHOOSE($E16,SUMPRODUCT((AP17:AP$65)*($M17:$M$65)*($C17:AE$65=$B16)),IF(NOT(ISNUMBER(Data!AI14)),0,ABS(($F16*100)-(Data!AI14-$I16)*$K16)),ABS(($F16*100)-(Data!AI14-$G16)*$K16))</f>
        <v>100</v>
      </c>
      <c r="AQ16" s="64">
        <f>CHOOSE($E16,SUMPRODUCT((AQ17:AQ$65)*($M17:$M$65)*($C17:AF$65=$B16)),IF(NOT(ISNUMBER(Data!AJ14)),0,ABS(($F16*100)-(Data!AJ14-$I16)*$K16)),ABS(($F16*100)-(Data!AJ14-$G16)*$K16))</f>
        <v>100</v>
      </c>
      <c r="AR16" s="64">
        <f>CHOOSE($E16,SUMPRODUCT((AR17:AR$65)*($M17:$M$65)*($C17:AG$65=$B16)),IF(NOT(ISNUMBER(Data!AK14)),0,ABS(($F16*100)-(Data!AK14-$I16)*$K16)),ABS(($F16*100)-(Data!AK14-$G16)*$K16))</f>
        <v>100</v>
      </c>
      <c r="AS16" s="64">
        <f>CHOOSE($E16,SUMPRODUCT((AS17:AS$65)*($M17:$M$65)*($C17:AH$65=$B16)),IF(NOT(ISNUMBER(Data!AL14)),0,ABS(($F16*100)-(Data!AL14-$I16)*$K16)),ABS(($F16*100)-(Data!AL14-$G16)*$K16))</f>
        <v>100</v>
      </c>
      <c r="AT16" s="64">
        <f>CHOOSE($E16,SUMPRODUCT((AT17:AT$65)*($M17:$M$65)*($C17:AI$65=$B16)),IF(NOT(ISNUMBER(Data!AM14)),0,ABS(($F16*100)-(Data!AM14-$I16)*$K16)),ABS(($F16*100)-(Data!AM14-$G16)*$K16))</f>
        <v>75</v>
      </c>
      <c r="AU16" s="64">
        <f>CHOOSE($E16,SUMPRODUCT((AU17:AU$65)*($M17:$M$65)*($C17:AJ$65=$B16)),IF(NOT(ISNUMBER(Data!AN14)),0,ABS(($F16*100)-(Data!AN14-$I16)*$K16)),ABS(($F16*100)-(Data!AN14-$G16)*$K16))</f>
        <v>75</v>
      </c>
      <c r="AV16" s="64">
        <f>CHOOSE($E16,SUMPRODUCT((AV17:AV$65)*($M17:$M$65)*($C17:AK$65=$B16)),IF(NOT(ISNUMBER(Data!AO14)),0,ABS(($F16*100)-(Data!AO14-$I16)*$K16)),ABS(($F16*100)-(Data!AO14-$G16)*$K16))</f>
        <v>75</v>
      </c>
      <c r="AW16" s="64">
        <f>CHOOSE($E16,SUMPRODUCT((AW17:AW$65)*($M17:$M$65)*($C17:AL$65=$B16)),IF(NOT(ISNUMBER(Data!AP14)),0,ABS(($F16*100)-(Data!AP14-$I16)*$K16)),ABS(($F16*100)-(Data!AP14-$G16)*$K16))</f>
        <v>75</v>
      </c>
      <c r="AX16" s="64">
        <f>CHOOSE($E16,SUMPRODUCT((AX17:AX$65)*($M17:$M$65)*($C17:AM$65=$B16)),IF(NOT(ISNUMBER(Data!AQ14)),0,ABS(($F16*100)-(Data!AQ14-$I16)*$K16)),ABS(($F16*100)-(Data!AQ14-$G16)*$K16))</f>
        <v>75</v>
      </c>
      <c r="AY16" s="64">
        <f>CHOOSE($E16,SUMPRODUCT((AY17:AY$65)*($M17:$M$65)*($C17:AN$65=$B16)),IF(NOT(ISNUMBER(Data!AR14)),0,ABS(($F16*100)-(Data!AR14-$I16)*$K16)),ABS(($F16*100)-(Data!AR14-$G16)*$K16))</f>
        <v>100</v>
      </c>
      <c r="AZ16" s="64">
        <f>CHOOSE($E16,SUMPRODUCT((AZ17:AZ$65)*($M17:$M$65)*($C17:AO$65=$B16)),IF(NOT(ISNUMBER(Data!AS14)),0,ABS(($F16*100)-(Data!AS14-$I16)*$K16)),ABS(($F16*100)-(Data!AS14-$G16)*$K16))</f>
        <v>100</v>
      </c>
      <c r="BA16" s="64">
        <f>CHOOSE($E16,SUMPRODUCT((BA17:BA$65)*($M17:$M$65)*($C17:AP$65=$B16)),IF(NOT(ISNUMBER(Data!AT14)),0,ABS(($F16*100)-(Data!AT14-$I16)*$K16)),ABS(($F16*100)-(Data!AT14-$G16)*$K16))</f>
        <v>100</v>
      </c>
      <c r="BB16" s="64">
        <f>CHOOSE($E16,SUMPRODUCT((BB17:BB$65)*($M17:$M$65)*($C17:AQ$65=$B16)),IF(NOT(ISNUMBER(Data!AU14)),0,ABS(($F16*100)-(Data!AU14-$I16)*$K16)),ABS(($F16*100)-(Data!AU14-$G16)*$K16))</f>
        <v>100</v>
      </c>
      <c r="BC16" s="64">
        <f>CHOOSE($E16,SUMPRODUCT((BC17:BC$65)*($M17:$M$65)*($C17:AR$65=$B16)),IF(NOT(ISNUMBER(Data!AV14)),0,ABS(($F16*100)-(Data!AV14-$I16)*$K16)),ABS(($F16*100)-(Data!AV14-$G16)*$K16))</f>
        <v>100</v>
      </c>
      <c r="BD16" s="64">
        <f>CHOOSE($E16,SUMPRODUCT((BD17:BD$65)*($M17:$M$65)*($C17:AS$65=$B16)),IF(NOT(ISNUMBER(Data!AW14)),0,ABS(($F16*100)-(Data!AW14-$I16)*$K16)),ABS(($F16*100)-(Data!AW14-$G16)*$K16))</f>
        <v>100</v>
      </c>
      <c r="BE16" s="64">
        <f>CHOOSE($E16,SUMPRODUCT((BE17:BE$65)*($M17:$M$65)*($C17:AT$65=$B16)),IF(NOT(ISNUMBER(Data!AX14)),0,ABS(($F16*100)-(Data!AX14-$I16)*$K16)),ABS(($F16*100)-(Data!AX14-$G16)*$K16))</f>
        <v>100</v>
      </c>
      <c r="BF16" s="64">
        <f>CHOOSE($E16,SUMPRODUCT((BF17:BF$65)*($M17:$M$65)*($C17:AU$65=$B16)),IF(NOT(ISNUMBER(Data!AY14)),0,ABS(($F16*100)-(Data!AY14-$I16)*$K16)),ABS(($F16*100)-(Data!AY14-$G16)*$K16))</f>
        <v>75</v>
      </c>
      <c r="BG16" s="64">
        <f>CHOOSE($E16,SUMPRODUCT((BG17:BG$65)*($M17:$M$65)*($C17:AV$65=$B16)),IF(NOT(ISNUMBER(Data!AZ14)),0,ABS(($F16*100)-(Data!AZ14-$I16)*$K16)),ABS(($F16*100)-(Data!AZ14-$G16)*$K16))</f>
        <v>100</v>
      </c>
      <c r="BH16" s="64">
        <f>CHOOSE($E16,SUMPRODUCT((BH17:BH$65)*($M17:$M$65)*($C17:AW$65=$B16)),IF(NOT(ISNUMBER(Data!BA14)),0,ABS(($F16*100)-(Data!BA14-$I16)*$K16)),ABS(($F16*100)-(Data!BA14-$G16)*$K16))</f>
        <v>100</v>
      </c>
      <c r="BI16" s="64">
        <f>CHOOSE($E16,SUMPRODUCT((BI17:BI$65)*($M17:$M$65)*($C17:AX$65=$B16)),IF(NOT(ISNUMBER(Data!BB14)),0,ABS(($F16*100)-(Data!BB14-$I16)*$K16)),ABS(($F16*100)-(Data!BB14-$G16)*$K16))</f>
        <v>100</v>
      </c>
      <c r="BJ16" s="64">
        <f>CHOOSE($E16,SUMPRODUCT((BJ17:BJ$65)*($M17:$M$65)*($C17:AY$65=$B16)),IF(NOT(ISNUMBER(Data!BC14)),0,ABS(($F16*100)-(Data!BC14-$I16)*$K16)),ABS(($F16*100)-(Data!BC14-$G16)*$K16))</f>
        <v>75</v>
      </c>
      <c r="BK16" s="64">
        <f>CHOOSE($E16,SUMPRODUCT((BK17:BK$65)*($M17:$M$65)*($C17:AZ$65=$B16)),IF(NOT(ISNUMBER(Data!BD14)),0,ABS(($F16*100)-(Data!BD14-$I16)*$K16)),ABS(($F16*100)-(Data!BD14-$G16)*$K16))</f>
        <v>100</v>
      </c>
      <c r="BM16" s="65"/>
    </row>
    <row r="17" s="22" customFormat="1" spans="1:65">
      <c r="A17" s="24"/>
      <c r="B17" s="24" t="str">
        <f>tblIndicators!B10</f>
        <v>DIGSEC_IP_06</v>
      </c>
      <c r="C17" s="24" t="str">
        <f>tblIndicators!C10</f>
        <v>DIGSEC_IP</v>
      </c>
      <c r="D17" s="52">
        <f>tblIndicators!D10</f>
        <v>3</v>
      </c>
      <c r="E17" s="52">
        <f>tblIndicators!M10</f>
        <v>3</v>
      </c>
      <c r="F17" s="52">
        <f>tblIndicators!N10</f>
        <v>0</v>
      </c>
      <c r="G17" s="52">
        <f>tblIndicators!Q10</f>
        <v>0</v>
      </c>
      <c r="H17" s="52">
        <f>tblIndicators!R10</f>
        <v>2</v>
      </c>
      <c r="I17" s="52" t="str">
        <f>IF($E17=2,MIN(Data!G15:BD15),"")</f>
        <v/>
      </c>
      <c r="J17" s="52" t="str">
        <f>IF($E17=2,MAX(Data!G15:BD15),"")</f>
        <v/>
      </c>
      <c r="K17" s="54">
        <f t="shared" si="2"/>
        <v>50</v>
      </c>
      <c r="L17" s="62" t="str">
        <f>tblIndicators!Z10</f>
        <v>1.1.6) Dedicated cyber security teams</v>
      </c>
      <c r="M17" s="63">
        <f>tblIndicators!AC10</f>
        <v>0.2</v>
      </c>
      <c r="N17" s="64">
        <f>CHOOSE($E17,SUMPRODUCT((N18:N$65)*($M18:$M$65)*($C18:C$65=$B17)),IF(NOT(ISNUMBER(Data!G15)),0,ABS(($F17*100)-(Data!G15-$I17)*$K17)),ABS(($F17*100)-(Data!G15-$G17)*$K17))</f>
        <v>50</v>
      </c>
      <c r="O17" s="64">
        <f>CHOOSE($E17,SUMPRODUCT((O18:O$65)*($M18:$M$65)*($C18:D$65=$B17)),IF(NOT(ISNUMBER(Data!H15)),0,ABS(($F17*100)-(Data!H15-$I17)*$K17)),ABS(($F17*100)-(Data!H15-$G17)*$K17))</f>
        <v>50</v>
      </c>
      <c r="P17" s="64">
        <f>CHOOSE($E17,SUMPRODUCT((P18:P$65)*($M18:$M$65)*($C18:E$65=$B17)),IF(NOT(ISNUMBER(Data!I15)),0,ABS(($F17*100)-(Data!I15-$I17)*$K17)),ABS(($F17*100)-(Data!I15-$G17)*$K17))</f>
        <v>50</v>
      </c>
      <c r="Q17" s="64">
        <f>CHOOSE($E17,SUMPRODUCT((Q18:Q$65)*($M18:$M$65)*($C18:F$65=$B17)),IF(NOT(ISNUMBER(Data!J15)),0,ABS(($F17*100)-(Data!J15-$I17)*$K17)),ABS(($F17*100)-(Data!J15-$G17)*$K17))</f>
        <v>50</v>
      </c>
      <c r="R17" s="64">
        <f>CHOOSE($E17,SUMPRODUCT((R18:R$65)*($M18:$M$65)*($C18:G$65=$B17)),IF(NOT(ISNUMBER(Data!K15)),0,ABS(($F17*100)-(Data!K15-$I17)*$K17)),ABS(($F17*100)-(Data!K15-$G17)*$K17))</f>
        <v>50</v>
      </c>
      <c r="S17" s="64">
        <f>CHOOSE($E17,SUMPRODUCT((S18:S$65)*($M18:$M$65)*($C18:H$65=$B17)),IF(NOT(ISNUMBER(Data!L15)),0,ABS(($F17*100)-(Data!L15-$I17)*$K17)),ABS(($F17*100)-(Data!L15-$G17)*$K17))</f>
        <v>100</v>
      </c>
      <c r="T17" s="64">
        <f>CHOOSE($E17,SUMPRODUCT((T18:T$65)*($M18:$M$65)*($C18:I$65=$B17)),IF(NOT(ISNUMBER(Data!M15)),0,ABS(($F17*100)-(Data!M15-$I17)*$K17)),ABS(($F17*100)-(Data!M15-$G17)*$K17))</f>
        <v>100</v>
      </c>
      <c r="U17" s="64">
        <f>CHOOSE($E17,SUMPRODUCT((U18:U$65)*($M18:$M$65)*($C18:J$65=$B17)),IF(NOT(ISNUMBER(Data!N15)),0,ABS(($F17*100)-(Data!N15-$I17)*$K17)),ABS(($F17*100)-(Data!N15-$G17)*$K17))</f>
        <v>100</v>
      </c>
      <c r="V17" s="64">
        <f>CHOOSE($E17,SUMPRODUCT((V18:V$65)*($M18:$M$65)*($C18:K$65=$B17)),IF(NOT(ISNUMBER(Data!O15)),0,ABS(($F17*100)-(Data!O15-$I17)*$K17)),ABS(($F17*100)-(Data!O15-$G17)*$K17))</f>
        <v>50</v>
      </c>
      <c r="W17" s="64">
        <f>CHOOSE($E17,SUMPRODUCT((W18:W$65)*($M18:$M$65)*($C18:L$65=$B17)),IF(NOT(ISNUMBER(Data!P15)),0,ABS(($F17*100)-(Data!P15-$I17)*$K17)),ABS(($F17*100)-(Data!P15-$G17)*$K17))</f>
        <v>100</v>
      </c>
      <c r="X17" s="64">
        <f>CHOOSE($E17,SUMPRODUCT((X18:X$65)*($M18:$M$65)*($C18:M$65=$B17)),IF(NOT(ISNUMBER(Data!Q15)),0,ABS(($F17*100)-(Data!Q15-$I17)*$K17)),ABS(($F17*100)-(Data!Q15-$G17)*$K17))</f>
        <v>50</v>
      </c>
      <c r="Y17" s="64">
        <f>CHOOSE($E17,SUMPRODUCT((Y18:Y$65)*($M18:$M$65)*($C18:N$65=$B17)),IF(NOT(ISNUMBER(Data!R15)),0,ABS(($F17*100)-(Data!R15-$I17)*$K17)),ABS(($F17*100)-(Data!R15-$G17)*$K17))</f>
        <v>50</v>
      </c>
      <c r="Z17" s="64">
        <f>CHOOSE($E17,SUMPRODUCT((Z18:Z$65)*($M18:$M$65)*($C18:O$65=$B17)),IF(NOT(ISNUMBER(Data!S15)),0,ABS(($F17*100)-(Data!S15-$I17)*$K17)),ABS(($F17*100)-(Data!S15-$G17)*$K17))</f>
        <v>50</v>
      </c>
      <c r="AA17" s="64">
        <f>CHOOSE($E17,SUMPRODUCT((AA18:AA$65)*($M18:$M$65)*($C18:P$65=$B17)),IF(NOT(ISNUMBER(Data!T15)),0,ABS(($F17*100)-(Data!T15-$I17)*$K17)),ABS(($F17*100)-(Data!T15-$G17)*$K17))</f>
        <v>100</v>
      </c>
      <c r="AB17" s="64">
        <f>CHOOSE($E17,SUMPRODUCT((AB18:AB$65)*($M18:$M$65)*($C18:Q$65=$B17)),IF(NOT(ISNUMBER(Data!U15)),0,ABS(($F17*100)-(Data!U15-$I17)*$K17)),ABS(($F17*100)-(Data!U15-$G17)*$K17))</f>
        <v>50</v>
      </c>
      <c r="AC17" s="64">
        <f>CHOOSE($E17,SUMPRODUCT((AC18:AC$65)*($M18:$M$65)*($C18:R$65=$B17)),IF(NOT(ISNUMBER(Data!V15)),0,ABS(($F17*100)-(Data!V15-$I17)*$K17)),ABS(($F17*100)-(Data!V15-$G17)*$K17))</f>
        <v>100</v>
      </c>
      <c r="AD17" s="64">
        <f>CHOOSE($E17,SUMPRODUCT((AD18:AD$65)*($M18:$M$65)*($C18:S$65=$B17)),IF(NOT(ISNUMBER(Data!W15)),0,ABS(($F17*100)-(Data!W15-$I17)*$K17)),ABS(($F17*100)-(Data!W15-$G17)*$K17))</f>
        <v>50</v>
      </c>
      <c r="AE17" s="64">
        <f>CHOOSE($E17,SUMPRODUCT((AE18:AE$65)*($M18:$M$65)*($C18:T$65=$B17)),IF(NOT(ISNUMBER(Data!X15)),0,ABS(($F17*100)-(Data!X15-$I17)*$K17)),ABS(($F17*100)-(Data!X15-$G17)*$K17))</f>
        <v>100</v>
      </c>
      <c r="AF17" s="64">
        <f>CHOOSE($E17,SUMPRODUCT((AF18:AF$65)*($M18:$M$65)*($C18:U$65=$B17)),IF(NOT(ISNUMBER(Data!Y15)),0,ABS(($F17*100)-(Data!Y15-$I17)*$K17)),ABS(($F17*100)-(Data!Y15-$G17)*$K17))</f>
        <v>50</v>
      </c>
      <c r="AG17" s="64">
        <f>CHOOSE($E17,SUMPRODUCT((AG18:AG$65)*($M18:$M$65)*($C18:V$65=$B17)),IF(NOT(ISNUMBER(Data!Z15)),0,ABS(($F17*100)-(Data!Z15-$I17)*$K17)),ABS(($F17*100)-(Data!Z15-$G17)*$K17))</f>
        <v>50</v>
      </c>
      <c r="AH17" s="64">
        <f>CHOOSE($E17,SUMPRODUCT((AH18:AH$65)*($M18:$M$65)*($C18:W$65=$B17)),IF(NOT(ISNUMBER(Data!AA15)),0,ABS(($F17*100)-(Data!AA15-$I17)*$K17)),ABS(($F17*100)-(Data!AA15-$G17)*$K17))</f>
        <v>100</v>
      </c>
      <c r="AI17" s="64">
        <f>CHOOSE($E17,SUMPRODUCT((AI18:AI$65)*($M18:$M$65)*($C18:X$65=$B17)),IF(NOT(ISNUMBER(Data!AB15)),0,ABS(($F17*100)-(Data!AB15-$I17)*$K17)),ABS(($F17*100)-(Data!AB15-$G17)*$K17))</f>
        <v>50</v>
      </c>
      <c r="AJ17" s="64">
        <f>CHOOSE($E17,SUMPRODUCT((AJ18:AJ$65)*($M18:$M$65)*($C18:Y$65=$B17)),IF(NOT(ISNUMBER(Data!AC15)),0,ABS(($F17*100)-(Data!AC15-$I17)*$K17)),ABS(($F17*100)-(Data!AC15-$G17)*$K17))</f>
        <v>50</v>
      </c>
      <c r="AK17" s="64">
        <f>CHOOSE($E17,SUMPRODUCT((AK18:AK$65)*($M18:$M$65)*($C18:Z$65=$B17)),IF(NOT(ISNUMBER(Data!AD15)),0,ABS(($F17*100)-(Data!AD15-$I17)*$K17)),ABS(($F17*100)-(Data!AD15-$G17)*$K17))</f>
        <v>100</v>
      </c>
      <c r="AL17" s="64">
        <f>CHOOSE($E17,SUMPRODUCT((AL18:AL$65)*($M18:$M$65)*($C18:AA$65=$B17)),IF(NOT(ISNUMBER(Data!AE15)),0,ABS(($F17*100)-(Data!AE15-$I17)*$K17)),ABS(($F17*100)-(Data!AE15-$G17)*$K17))</f>
        <v>50</v>
      </c>
      <c r="AM17" s="64">
        <f>CHOOSE($E17,SUMPRODUCT((AM18:AM$65)*($M18:$M$65)*($C18:AB$65=$B17)),IF(NOT(ISNUMBER(Data!AF15)),0,ABS(($F17*100)-(Data!AF15-$I17)*$K17)),ABS(($F17*100)-(Data!AF15-$G17)*$K17))</f>
        <v>50</v>
      </c>
      <c r="AN17" s="64">
        <f>CHOOSE($E17,SUMPRODUCT((AN18:AN$65)*($M18:$M$65)*($C18:AC$65=$B17)),IF(NOT(ISNUMBER(Data!AG15)),0,ABS(($F17*100)-(Data!AG15-$I17)*$K17)),ABS(($F17*100)-(Data!AG15-$G17)*$K17))</f>
        <v>50</v>
      </c>
      <c r="AO17" s="64">
        <f>CHOOSE($E17,SUMPRODUCT((AO18:AO$65)*($M18:$M$65)*($C18:AD$65=$B17)),IF(NOT(ISNUMBER(Data!AH15)),0,ABS(($F17*100)-(Data!AH15-$I17)*$K17)),ABS(($F17*100)-(Data!AH15-$G17)*$K17))</f>
        <v>100</v>
      </c>
      <c r="AP17" s="64">
        <f>CHOOSE($E17,SUMPRODUCT((AP18:AP$65)*($M18:$M$65)*($C18:AE$65=$B17)),IF(NOT(ISNUMBER(Data!AI15)),0,ABS(($F17*100)-(Data!AI15-$I17)*$K17)),ABS(($F17*100)-(Data!AI15-$G17)*$K17))</f>
        <v>50</v>
      </c>
      <c r="AQ17" s="64">
        <f>CHOOSE($E17,SUMPRODUCT((AQ18:AQ$65)*($M18:$M$65)*($C18:AF$65=$B17)),IF(NOT(ISNUMBER(Data!AJ15)),0,ABS(($F17*100)-(Data!AJ15-$I17)*$K17)),ABS(($F17*100)-(Data!AJ15-$G17)*$K17))</f>
        <v>100</v>
      </c>
      <c r="AR17" s="64">
        <f>CHOOSE($E17,SUMPRODUCT((AR18:AR$65)*($M18:$M$65)*($C18:AG$65=$B17)),IF(NOT(ISNUMBER(Data!AK15)),0,ABS(($F17*100)-(Data!AK15-$I17)*$K17)),ABS(($F17*100)-(Data!AK15-$G17)*$K17))</f>
        <v>50</v>
      </c>
      <c r="AS17" s="64">
        <f>CHOOSE($E17,SUMPRODUCT((AS18:AS$65)*($M18:$M$65)*($C18:AH$65=$B17)),IF(NOT(ISNUMBER(Data!AL15)),0,ABS(($F17*100)-(Data!AL15-$I17)*$K17)),ABS(($F17*100)-(Data!AL15-$G17)*$K17))</f>
        <v>50</v>
      </c>
      <c r="AT17" s="64">
        <f>CHOOSE($E17,SUMPRODUCT((AT18:AT$65)*($M18:$M$65)*($C18:AI$65=$B17)),IF(NOT(ISNUMBER(Data!AM15)),0,ABS(($F17*100)-(Data!AM15-$I17)*$K17)),ABS(($F17*100)-(Data!AM15-$G17)*$K17))</f>
        <v>50</v>
      </c>
      <c r="AU17" s="64">
        <f>CHOOSE($E17,SUMPRODUCT((AU18:AU$65)*($M18:$M$65)*($C18:AJ$65=$B17)),IF(NOT(ISNUMBER(Data!AN15)),0,ABS(($F17*100)-(Data!AN15-$I17)*$K17)),ABS(($F17*100)-(Data!AN15-$G17)*$K17))</f>
        <v>50</v>
      </c>
      <c r="AV17" s="64">
        <f>CHOOSE($E17,SUMPRODUCT((AV18:AV$65)*($M18:$M$65)*($C18:AK$65=$B17)),IF(NOT(ISNUMBER(Data!AO15)),0,ABS(($F17*100)-(Data!AO15-$I17)*$K17)),ABS(($F17*100)-(Data!AO15-$G17)*$K17))</f>
        <v>50</v>
      </c>
      <c r="AW17" s="64">
        <f>CHOOSE($E17,SUMPRODUCT((AW18:AW$65)*($M18:$M$65)*($C18:AL$65=$B17)),IF(NOT(ISNUMBER(Data!AP15)),0,ABS(($F17*100)-(Data!AP15-$I17)*$K17)),ABS(($F17*100)-(Data!AP15-$G17)*$K17))</f>
        <v>50</v>
      </c>
      <c r="AX17" s="64">
        <f>CHOOSE($E17,SUMPRODUCT((AX18:AX$65)*($M18:$M$65)*($C18:AM$65=$B17)),IF(NOT(ISNUMBER(Data!AQ15)),0,ABS(($F17*100)-(Data!AQ15-$I17)*$K17)),ABS(($F17*100)-(Data!AQ15-$G17)*$K17))</f>
        <v>50</v>
      </c>
      <c r="AY17" s="64">
        <f>CHOOSE($E17,SUMPRODUCT((AY18:AY$65)*($M18:$M$65)*($C18:AN$65=$B17)),IF(NOT(ISNUMBER(Data!AR15)),0,ABS(($F17*100)-(Data!AR15-$I17)*$K17)),ABS(($F17*100)-(Data!AR15-$G17)*$K17))</f>
        <v>100</v>
      </c>
      <c r="AZ17" s="64">
        <f>CHOOSE($E17,SUMPRODUCT((AZ18:AZ$65)*($M18:$M$65)*($C18:AO$65=$B17)),IF(NOT(ISNUMBER(Data!AS15)),0,ABS(($F17*100)-(Data!AS15-$I17)*$K17)),ABS(($F17*100)-(Data!AS15-$G17)*$K17))</f>
        <v>50</v>
      </c>
      <c r="BA17" s="64">
        <f>CHOOSE($E17,SUMPRODUCT((BA18:BA$65)*($M18:$M$65)*($C18:AP$65=$B17)),IF(NOT(ISNUMBER(Data!AT15)),0,ABS(($F17*100)-(Data!AT15-$I17)*$K17)),ABS(($F17*100)-(Data!AT15-$G17)*$K17))</f>
        <v>50</v>
      </c>
      <c r="BB17" s="64">
        <f>CHOOSE($E17,SUMPRODUCT((BB18:BB$65)*($M18:$M$65)*($C18:AQ$65=$B17)),IF(NOT(ISNUMBER(Data!AU15)),0,ABS(($F17*100)-(Data!AU15-$I17)*$K17)),ABS(($F17*100)-(Data!AU15-$G17)*$K17))</f>
        <v>50</v>
      </c>
      <c r="BC17" s="64">
        <f>CHOOSE($E17,SUMPRODUCT((BC18:BC$65)*($M18:$M$65)*($C18:AR$65=$B17)),IF(NOT(ISNUMBER(Data!AV15)),0,ABS(($F17*100)-(Data!AV15-$I17)*$K17)),ABS(($F17*100)-(Data!AV15-$G17)*$K17))</f>
        <v>50</v>
      </c>
      <c r="BD17" s="64">
        <f>CHOOSE($E17,SUMPRODUCT((BD18:BD$65)*($M18:$M$65)*($C18:AS$65=$B17)),IF(NOT(ISNUMBER(Data!AW15)),0,ABS(($F17*100)-(Data!AW15-$I17)*$K17)),ABS(($F17*100)-(Data!AW15-$G17)*$K17))</f>
        <v>100</v>
      </c>
      <c r="BE17" s="64">
        <f>CHOOSE($E17,SUMPRODUCT((BE18:BE$65)*($M18:$M$65)*($C18:AT$65=$B17)),IF(NOT(ISNUMBER(Data!AX15)),0,ABS(($F17*100)-(Data!AX15-$I17)*$K17)),ABS(($F17*100)-(Data!AX15-$G17)*$K17))</f>
        <v>50</v>
      </c>
      <c r="BF17" s="64">
        <f>CHOOSE($E17,SUMPRODUCT((BF18:BF$65)*($M18:$M$65)*($C18:AU$65=$B17)),IF(NOT(ISNUMBER(Data!AY15)),0,ABS(($F17*100)-(Data!AY15-$I17)*$K17)),ABS(($F17*100)-(Data!AY15-$G17)*$K17))</f>
        <v>50</v>
      </c>
      <c r="BG17" s="64">
        <f>CHOOSE($E17,SUMPRODUCT((BG18:BG$65)*($M18:$M$65)*($C18:AV$65=$B17)),IF(NOT(ISNUMBER(Data!AZ15)),0,ABS(($F17*100)-(Data!AZ15-$I17)*$K17)),ABS(($F17*100)-(Data!AZ15-$G17)*$K17))</f>
        <v>50</v>
      </c>
      <c r="BH17" s="64">
        <f>CHOOSE($E17,SUMPRODUCT((BH18:BH$65)*($M18:$M$65)*($C18:AW$65=$B17)),IF(NOT(ISNUMBER(Data!BA15)),0,ABS(($F17*100)-(Data!BA15-$I17)*$K17)),ABS(($F17*100)-(Data!BA15-$G17)*$K17))</f>
        <v>100</v>
      </c>
      <c r="BI17" s="64">
        <f>CHOOSE($E17,SUMPRODUCT((BI18:BI$65)*($M18:$M$65)*($C18:AX$65=$B17)),IF(NOT(ISNUMBER(Data!BB15)),0,ABS(($F17*100)-(Data!BB15-$I17)*$K17)),ABS(($F17*100)-(Data!BB15-$G17)*$K17))</f>
        <v>50</v>
      </c>
      <c r="BJ17" s="64">
        <f>CHOOSE($E17,SUMPRODUCT((BJ18:BJ$65)*($M18:$M$65)*($C18:AY$65=$B17)),IF(NOT(ISNUMBER(Data!BC15)),0,ABS(($F17*100)-(Data!BC15-$I17)*$K17)),ABS(($F17*100)-(Data!BC15-$G17)*$K17))</f>
        <v>50</v>
      </c>
      <c r="BK17" s="64">
        <f>CHOOSE($E17,SUMPRODUCT((BK18:BK$65)*($M18:$M$65)*($C18:AZ$65=$B17)),IF(NOT(ISNUMBER(Data!BD15)),0,ABS(($F17*100)-(Data!BD15-$I17)*$K17)),ABS(($F17*100)-(Data!BD15-$G17)*$K17))</f>
        <v>50</v>
      </c>
      <c r="BM17" s="65"/>
    </row>
    <row r="18" s="21" customFormat="1" spans="1:65">
      <c r="A18" s="30"/>
      <c r="B18" s="30" t="str">
        <f>tblIndicators!B11</f>
        <v>DIGSEC_OP</v>
      </c>
      <c r="C18" s="30" t="str">
        <f>tblIndicators!C11</f>
        <v>DIGSEC</v>
      </c>
      <c r="D18" s="53">
        <f>tblIndicators!D11</f>
        <v>2</v>
      </c>
      <c r="E18" s="53">
        <f>tblIndicators!M11</f>
        <v>1</v>
      </c>
      <c r="F18" s="53">
        <f>tblIndicators!N11</f>
        <v>0</v>
      </c>
      <c r="G18" s="53">
        <f>tblIndicators!Q11</f>
        <v>0</v>
      </c>
      <c r="H18" s="53">
        <f>tblIndicators!R11</f>
        <v>0</v>
      </c>
      <c r="I18" s="52" t="str">
        <f>IF($E18=2,MIN(Data!G16:BD16),"")</f>
        <v/>
      </c>
      <c r="J18" s="52" t="str">
        <f>IF($E18=2,MAX(Data!G16:BD16),"")</f>
        <v/>
      </c>
      <c r="K18" s="58" t="str">
        <f t="shared" si="2"/>
        <v/>
      </c>
      <c r="L18" s="59" t="str">
        <f>tblIndicators!Z11</f>
        <v>1.2) Digital Security (Outputs)</v>
      </c>
      <c r="M18" s="60">
        <f>tblIndicators!AC11</f>
        <v>0.5</v>
      </c>
      <c r="N18" s="61">
        <f>CHOOSE($E18,SUMPRODUCT((N19:N$65)*($M19:$M$65)*($C19:C$65=$B18)),IF(NOT(ISNUMBER(Data!G16)),0,ABS(($F18*100)-(Data!G16-$I18)*$K18)),ABS(($F18*100)-(Data!G16-$G18)*$K18))</f>
        <v>80.3066666666667</v>
      </c>
      <c r="O18" s="61">
        <f>CHOOSE($E18,SUMPRODUCT((O19:O$65)*($M19:$M$65)*($C19:D$65=$B18)),IF(NOT(ISNUMBER(Data!H16)),0,ABS(($F18*100)-(Data!H16-$I18)*$K18)),ABS(($F18*100)-(Data!H16-$G18)*$K18))</f>
        <v>60.1415525114155</v>
      </c>
      <c r="P18" s="61">
        <f>CHOOSE($E18,SUMPRODUCT((P19:P$65)*($M19:$M$65)*($C19:E$65=$B18)),IF(NOT(ISNUMBER(Data!I16)),0,ABS(($F18*100)-(Data!I16-$I18)*$K18)),ABS(($F18*100)-(Data!I16-$G18)*$K18))</f>
        <v>80.8363774733638</v>
      </c>
      <c r="Q18" s="61">
        <f>CHOOSE($E18,SUMPRODUCT((Q19:Q$65)*($M19:$M$65)*($C19:F$65=$B18)),IF(NOT(ISNUMBER(Data!J16)),0,ABS(($F18*100)-(Data!J16-$I18)*$K18)),ABS(($F18*100)-(Data!J16-$G18)*$K18))</f>
        <v>56.1917808219178</v>
      </c>
      <c r="R18" s="61">
        <f>CHOOSE($E18,SUMPRODUCT((R19:R$65)*($M19:$M$65)*($C19:G$65=$B18)),IF(NOT(ISNUMBER(Data!K16)),0,ABS(($F18*100)-(Data!K16-$I18)*$K18)),ABS(($F18*100)-(Data!K16-$G18)*$K18))</f>
        <v>55.8112633181126</v>
      </c>
      <c r="S18" s="61">
        <f>CHOOSE($E18,SUMPRODUCT((S19:S$65)*($M19:$M$65)*($C19:H$65=$B18)),IF(NOT(ISNUMBER(Data!L16)),0,ABS(($F18*100)-(Data!L16-$I18)*$K18)),ABS(($F18*100)-(Data!L16-$G18)*$K18))</f>
        <v>74.6514459665145</v>
      </c>
      <c r="T18" s="61">
        <f>CHOOSE($E18,SUMPRODUCT((T19:T$65)*($M19:$M$65)*($C19:I$65=$B18)),IF(NOT(ISNUMBER(Data!M16)),0,ABS(($F18*100)-(Data!M16-$I18)*$K18)),ABS(($F18*100)-(Data!M16-$G18)*$K18))</f>
        <v>72.3683409436834</v>
      </c>
      <c r="U18" s="61">
        <f>CHOOSE($E18,SUMPRODUCT((U19:U$65)*($M19:$M$65)*($C19:J$65=$B18)),IF(NOT(ISNUMBER(Data!N16)),0,ABS(($F18*100)-(Data!N16-$I18)*$K18)),ABS(($F18*100)-(Data!N16-$G18)*$K18))</f>
        <v>72.7488584474886</v>
      </c>
      <c r="V18" s="61">
        <f>CHOOSE($E18,SUMPRODUCT((V19:V$65)*($M19:$M$65)*($C19:K$65=$B18)),IF(NOT(ISNUMBER(Data!O16)),0,ABS(($F18*100)-(Data!O16-$I18)*$K18)),ABS(($F18*100)-(Data!O16-$G18)*$K18))</f>
        <v>72.7488584474886</v>
      </c>
      <c r="W18" s="61">
        <f>CHOOSE($E18,SUMPRODUCT((W19:W$65)*($M19:$M$65)*($C19:L$65=$B18)),IF(NOT(ISNUMBER(Data!P16)),0,ABS(($F18*100)-(Data!P16-$I18)*$K18)),ABS(($F18*100)-(Data!P16-$G18)*$K18))</f>
        <v>70.4657534246575</v>
      </c>
      <c r="X18" s="61">
        <f>CHOOSE($E18,SUMPRODUCT((X19:X$65)*($M19:$M$65)*($C19:M$65=$B18)),IF(NOT(ISNUMBER(Data!Q16)),0,ABS(($F18*100)-(Data!Q16-$I18)*$K18)),ABS(($F18*100)-(Data!Q16-$G18)*$K18))</f>
        <v>67.0494672754947</v>
      </c>
      <c r="Y18" s="61">
        <f>CHOOSE($E18,SUMPRODUCT((Y19:Y$65)*($M19:$M$65)*($C19:N$65=$B18)),IF(NOT(ISNUMBER(Data!R16)),0,ABS(($F18*100)-(Data!R16-$I18)*$K18)),ABS(($F18*100)-(Data!R16-$G18)*$K18))</f>
        <v>49.8533333333333</v>
      </c>
      <c r="Z18" s="61">
        <f>CHOOSE($E18,SUMPRODUCT((Z19:Z$65)*($M19:$M$65)*($C19:O$65=$B18)),IF(NOT(ISNUMBER(Data!S16)),0,ABS(($F18*100)-(Data!S16-$I18)*$K18)),ABS(($F18*100)-(Data!S16-$G18)*$K18))</f>
        <v>80.6879756468797</v>
      </c>
      <c r="AA18" s="61">
        <f>CHOOSE($E18,SUMPRODUCT((AA19:AA$65)*($M19:$M$65)*($C19:P$65=$B18)),IF(NOT(ISNUMBER(Data!T16)),0,ABS(($F18*100)-(Data!T16-$I18)*$K18)),ABS(($F18*100)-(Data!T16-$G18)*$K18))</f>
        <v>73.5098934550989</v>
      </c>
      <c r="AB18" s="61">
        <f>CHOOSE($E18,SUMPRODUCT((AB19:AB$65)*($M19:$M$65)*($C19:Q$65=$B18)),IF(NOT(ISNUMBER(Data!U16)),0,ABS(($F18*100)-(Data!U16-$I18)*$K18)),ABS(($F18*100)-(Data!U16-$G18)*$K18))</f>
        <v>74.6514459665145</v>
      </c>
      <c r="AC18" s="61">
        <f>CHOOSE($E18,SUMPRODUCT((AC19:AC$65)*($M19:$M$65)*($C19:R$65=$B18)),IF(NOT(ISNUMBER(Data!V16)),0,ABS(($F18*100)-(Data!V16-$I18)*$K18)),ABS(($F18*100)-(Data!V16-$G18)*$K18))</f>
        <v>69.6270928462709</v>
      </c>
      <c r="AD18" s="61">
        <f>CHOOSE($E18,SUMPRODUCT((AD19:AD$65)*($M19:$M$65)*($C19:S$65=$B18)),IF(NOT(ISNUMBER(Data!W16)),0,ABS(($F18*100)-(Data!W16-$I18)*$K18)),ABS(($F18*100)-(Data!W16-$G18)*$K18))</f>
        <v>69.5129375951294</v>
      </c>
      <c r="AE18" s="61">
        <f>CHOOSE($E18,SUMPRODUCT((AE19:AE$65)*($M19:$M$65)*($C19:T$65=$B18)),IF(NOT(ISNUMBER(Data!X16)),0,ABS(($F18*100)-(Data!X16-$I18)*$K18)),ABS(($F18*100)-(Data!X16-$G18)*$K18))</f>
        <v>76.2359208523592</v>
      </c>
      <c r="AF18" s="61">
        <f>CHOOSE($E18,SUMPRODUCT((AF19:AF$65)*($M19:$M$65)*($C19:U$65=$B18)),IF(NOT(ISNUMBER(Data!Y16)),0,ABS(($F18*100)-(Data!Y16-$I18)*$K18)),ABS(($F18*100)-(Data!Y16-$G18)*$K18))</f>
        <v>56.0669710806697</v>
      </c>
      <c r="AG18" s="61">
        <f>CHOOSE($E18,SUMPRODUCT((AG19:AG$65)*($M19:$M$65)*($C19:V$65=$B18)),IF(NOT(ISNUMBER(Data!Z16)),0,ABS(($F18*100)-(Data!Z16-$I18)*$K18)),ABS(($F18*100)-(Data!Z16-$G18)*$K18))</f>
        <v>54.62100456621</v>
      </c>
      <c r="AH18" s="61">
        <f>CHOOSE($E18,SUMPRODUCT((AH19:AH$65)*($M19:$M$65)*($C19:W$65=$B18)),IF(NOT(ISNUMBER(Data!AA16)),0,ABS(($F18*100)-(Data!AA16-$I18)*$K18)),ABS(($F18*100)-(Data!AA16-$G18)*$K18))</f>
        <v>57.8173515981735</v>
      </c>
      <c r="AI18" s="61">
        <f>CHOOSE($E18,SUMPRODUCT((AI19:AI$65)*($M19:$M$65)*($C19:X$65=$B18)),IF(NOT(ISNUMBER(Data!AB16)),0,ABS(($F18*100)-(Data!AB16-$I18)*$K18)),ABS(($F18*100)-(Data!AB16-$G18)*$K18))</f>
        <v>52.6042617960426</v>
      </c>
      <c r="AJ18" s="61">
        <f>CHOOSE($E18,SUMPRODUCT((AJ19:AJ$65)*($M19:$M$65)*($C19:Y$65=$B18)),IF(NOT(ISNUMBER(Data!AC16)),0,ABS(($F18*100)-(Data!AC16-$I18)*$K18)),ABS(($F18*100)-(Data!AC16-$G18)*$K18))</f>
        <v>50.8538812785388</v>
      </c>
      <c r="AK18" s="61">
        <f>CHOOSE($E18,SUMPRODUCT((AK19:AK$65)*($M19:$M$65)*($C19:Z$65=$B18)),IF(NOT(ISNUMBER(Data!AD16)),0,ABS(($F18*100)-(Data!AD16-$I18)*$K18)),ABS(($F18*100)-(Data!AD16-$G18)*$K18))</f>
        <v>49.144596651446</v>
      </c>
      <c r="AL18" s="61">
        <f>CHOOSE($E18,SUMPRODUCT((AL19:AL$65)*($M19:$M$65)*($C19:AA$65=$B18)),IF(NOT(ISNUMBER(Data!AE16)),0,ABS(($F18*100)-(Data!AE16-$I18)*$K18)),ABS(($F18*100)-(Data!AE16-$G18)*$K18))</f>
        <v>49.658295281583</v>
      </c>
      <c r="AM18" s="61">
        <f>CHOOSE($E18,SUMPRODUCT((AM19:AM$65)*($M19:$M$65)*($C19:AB$65=$B18)),IF(NOT(ISNUMBER(Data!AF16)),0,ABS(($F18*100)-(Data!AF16-$I18)*$K18)),ABS(($F18*100)-(Data!AF16-$G18)*$K18))</f>
        <v>46.634703196347</v>
      </c>
      <c r="AN18" s="61">
        <f>CHOOSE($E18,SUMPRODUCT((AN19:AN$65)*($M19:$M$65)*($C19:AC$65=$B18)),IF(NOT(ISNUMBER(Data!AG16)),0,ABS(($F18*100)-(Data!AG16-$I18)*$K18)),ABS(($F18*100)-(Data!AG16-$G18)*$K18))</f>
        <v>57.1537290715373</v>
      </c>
      <c r="AO18" s="61">
        <f>CHOOSE($E18,SUMPRODUCT((AO19:AO$65)*($M19:$M$65)*($C19:AD$65=$B18)),IF(NOT(ISNUMBER(Data!AH16)),0,ABS(($F18*100)-(Data!AH16-$I18)*$K18)),ABS(($F18*100)-(Data!AH16-$G18)*$K18))</f>
        <v>95.6986301369863</v>
      </c>
      <c r="AP18" s="61">
        <f>CHOOSE($E18,SUMPRODUCT((AP19:AP$65)*($M19:$M$65)*($C19:AE$65=$B18)),IF(NOT(ISNUMBER(Data!AI16)),0,ABS(($F18*100)-(Data!AI16-$I18)*$K18)),ABS(($F18*100)-(Data!AI16-$G18)*$K18))</f>
        <v>95.3295281582953</v>
      </c>
      <c r="AQ18" s="61">
        <f>CHOOSE($E18,SUMPRODUCT((AQ19:AQ$65)*($M19:$M$65)*($C19:AF$65=$B18)),IF(NOT(ISNUMBER(Data!AJ16)),0,ABS(($F18*100)-(Data!AJ16-$I18)*$K18)),ABS(($F18*100)-(Data!AJ16-$G18)*$K18))</f>
        <v>82.3713850837138</v>
      </c>
      <c r="AR18" s="61">
        <f>CHOOSE($E18,SUMPRODUCT((AR19:AR$65)*($M19:$M$65)*($C19:AG$65=$B18)),IF(NOT(ISNUMBER(Data!AK16)),0,ABS(($F18*100)-(Data!AK16-$I18)*$K18)),ABS(($F18*100)-(Data!AK16-$G18)*$K18))</f>
        <v>45.58599695586</v>
      </c>
      <c r="AS18" s="61">
        <f>CHOOSE($E18,SUMPRODUCT((AS19:AS$65)*($M19:$M$65)*($C19:AH$65=$B18)),IF(NOT(ISNUMBER(Data!AL16)),0,ABS(($F18*100)-(Data!AL16-$I18)*$K18)),ABS(($F18*100)-(Data!AL16-$G18)*$K18))</f>
        <v>81.5631659056316</v>
      </c>
      <c r="AT18" s="61">
        <f>CHOOSE($E18,SUMPRODUCT((AT19:AT$65)*($M19:$M$65)*($C19:AI$65=$B18)),IF(NOT(ISNUMBER(Data!AM16)),0,ABS(($F18*100)-(Data!AM16-$I18)*$K18)),ABS(($F18*100)-(Data!AM16-$G18)*$K18))</f>
        <v>48.0624048706241</v>
      </c>
      <c r="AU18" s="61">
        <f>CHOOSE($E18,SUMPRODUCT((AU19:AU$65)*($M19:$M$65)*($C19:AJ$65=$B18)),IF(NOT(ISNUMBER(Data!AN16)),0,ABS(($F18*100)-(Data!AN16-$I18)*$K18)),ABS(($F18*100)-(Data!AN16-$G18)*$K18))</f>
        <v>48.9528158295282</v>
      </c>
      <c r="AV18" s="61">
        <f>CHOOSE($E18,SUMPRODUCT((AV19:AV$65)*($M19:$M$65)*($C19:AK$65=$B18)),IF(NOT(ISNUMBER(Data!AO16)),0,ABS(($F18*100)-(Data!AO16-$I18)*$K18)),ABS(($F18*100)-(Data!AO16-$G18)*$K18))</f>
        <v>74.751902587519</v>
      </c>
      <c r="AW18" s="61">
        <f>CHOOSE($E18,SUMPRODUCT((AW19:AW$65)*($M19:$M$65)*($C19:AL$65=$B18)),IF(NOT(ISNUMBER(Data!AP16)),0,ABS(($F18*100)-(Data!AP16-$I18)*$K18)),ABS(($F18*100)-(Data!AP16-$G18)*$K18))</f>
        <v>77.7960426179604</v>
      </c>
      <c r="AX18" s="61">
        <f>CHOOSE($E18,SUMPRODUCT((AX19:AX$65)*($M19:$M$65)*($C19:AM$65=$B18)),IF(NOT(ISNUMBER(Data!AQ16)),0,ABS(($F18*100)-(Data!AQ16-$I18)*$K18)),ABS(($F18*100)-(Data!AQ16-$G18)*$K18))</f>
        <v>52.8462709284627</v>
      </c>
      <c r="AY18" s="61">
        <f>CHOOSE($E18,SUMPRODUCT((AY19:AY$65)*($M19:$M$65)*($C19:AN$65=$B18)),IF(NOT(ISNUMBER(Data!AR16)),0,ABS(($F18*100)-(Data!AR16-$I18)*$K18)),ABS(($F18*100)-(Data!AR16-$G18)*$K18))</f>
        <v>80.0791476407915</v>
      </c>
      <c r="AZ18" s="61">
        <f>CHOOSE($E18,SUMPRODUCT((AZ19:AZ$65)*($M19:$M$65)*($C19:AO$65=$B18)),IF(NOT(ISNUMBER(Data!AS16)),0,ABS(($F18*100)-(Data!AS16-$I18)*$K18)),ABS(($F18*100)-(Data!AS16-$G18)*$K18))</f>
        <v>75.8607305936073</v>
      </c>
      <c r="BA18" s="61">
        <f>CHOOSE($E18,SUMPRODUCT((BA19:BA$65)*($M19:$M$65)*($C19:AP$65=$B18)),IF(NOT(ISNUMBER(Data!AT16)),0,ABS(($F18*100)-(Data!AT16-$I18)*$K18)),ABS(($F18*100)-(Data!AT16-$G18)*$K18))</f>
        <v>68.7960426179604</v>
      </c>
      <c r="BB18" s="61">
        <f>CHOOSE($E18,SUMPRODUCT((BB19:BB$65)*($M19:$M$65)*($C19:AQ$65=$B18)),IF(NOT(ISNUMBER(Data!AU16)),0,ABS(($F18*100)-(Data!AU16-$I18)*$K18)),ABS(($F18*100)-(Data!AU16-$G18)*$K18))</f>
        <v>64.2237442922374</v>
      </c>
      <c r="BC18" s="61">
        <f>CHOOSE($E18,SUMPRODUCT((BC19:BC$65)*($M19:$M$65)*($C19:AR$65=$B18)),IF(NOT(ISNUMBER(Data!AV16)),0,ABS(($F18*100)-(Data!AV16-$I18)*$K18)),ABS(($F18*100)-(Data!AV16-$G18)*$K18))</f>
        <v>69.3302891933029</v>
      </c>
      <c r="BD18" s="61">
        <f>CHOOSE($E18,SUMPRODUCT((BD19:BD$65)*($M19:$M$65)*($C19:AS$65=$B18)),IF(NOT(ISNUMBER(Data!AW16)),0,ABS(($F18*100)-(Data!AW16-$I18)*$K18)),ABS(($F18*100)-(Data!AW16-$G18)*$K18))</f>
        <v>71.2328767123288</v>
      </c>
      <c r="BE18" s="61">
        <f>CHOOSE($E18,SUMPRODUCT((BE19:BE$65)*($M19:$M$65)*($C19:AT$65=$B18)),IF(NOT(ISNUMBER(Data!AX16)),0,ABS(($F18*100)-(Data!AX16-$I18)*$K18)),ABS(($F18*100)-(Data!AX16-$G18)*$K18))</f>
        <v>90.9622526636225</v>
      </c>
      <c r="BF18" s="61">
        <f>CHOOSE($E18,SUMPRODUCT((BF19:BF$65)*($M19:$M$65)*($C19:AU$65=$B18)),IF(NOT(ISNUMBER(Data!AY16)),0,ABS(($F18*100)-(Data!AY16-$I18)*$K18)),ABS(($F18*100)-(Data!AY16-$G18)*$K18))</f>
        <v>49.4185692541857</v>
      </c>
      <c r="BG18" s="61">
        <f>CHOOSE($E18,SUMPRODUCT((BG19:BG$65)*($M19:$M$65)*($C19:AV$65=$B18)),IF(NOT(ISNUMBER(Data!AZ16)),0,ABS(($F18*100)-(Data!AZ16-$I18)*$K18)),ABS(($F18*100)-(Data!AZ16-$G18)*$K18))</f>
        <v>60.2267884322679</v>
      </c>
      <c r="BH18" s="61">
        <f>CHOOSE($E18,SUMPRODUCT((BH19:BH$65)*($M19:$M$65)*($C19:AW$65=$B18)),IF(NOT(ISNUMBER(Data!BA16)),0,ABS(($F18*100)-(Data!BA16-$I18)*$K18)),ABS(($F18*100)-(Data!BA16-$G18)*$K18))</f>
        <v>59.2374429223744</v>
      </c>
      <c r="BI18" s="61">
        <f>CHOOSE($E18,SUMPRODUCT((BI19:BI$65)*($M19:$M$65)*($C19:AX$65=$B18)),IF(NOT(ISNUMBER(Data!BB16)),0,ABS(($F18*100)-(Data!BB16-$I18)*$K18)),ABS(($F18*100)-(Data!BB16-$G18)*$K18))</f>
        <v>79.4124809741248</v>
      </c>
      <c r="BJ18" s="61">
        <f>CHOOSE($E18,SUMPRODUCT((BJ19:BJ$65)*($M19:$M$65)*($C19:AY$65=$B18)),IF(NOT(ISNUMBER(Data!BC16)),0,ABS(($F18*100)-(Data!BC16-$I18)*$K18)),ABS(($F18*100)-(Data!BC16-$G18)*$K18))</f>
        <v>49.9923896499239</v>
      </c>
      <c r="BK18" s="61">
        <f>CHOOSE($E18,SUMPRODUCT((BK19:BK$65)*($M19:$M$65)*($C19:AZ$65=$B18)),IF(NOT(ISNUMBER(Data!BD16)),0,ABS(($F18*100)-(Data!BD16-$I18)*$K18)),ABS(($F18*100)-(Data!BD16-$G18)*$K18))</f>
        <v>77.5068493150685</v>
      </c>
      <c r="BM18" s="65"/>
    </row>
    <row r="19" s="22" customFormat="1" spans="1:65">
      <c r="A19" s="24"/>
      <c r="B19" s="24" t="str">
        <f>tblIndicators!B12</f>
        <v>DIGSEC_OP_01</v>
      </c>
      <c r="C19" s="24" t="str">
        <f>tblIndicators!C12</f>
        <v>DIGSEC_OP</v>
      </c>
      <c r="D19" s="52">
        <f>tblIndicators!D12</f>
        <v>3</v>
      </c>
      <c r="E19" s="52">
        <f>tblIndicators!M12</f>
        <v>2</v>
      </c>
      <c r="F19" s="52">
        <f>tblIndicators!N12</f>
        <v>1</v>
      </c>
      <c r="G19" s="52">
        <f>tblIndicators!Q12</f>
        <v>0</v>
      </c>
      <c r="H19" s="52">
        <f>tblIndicators!R12</f>
        <v>0</v>
      </c>
      <c r="I19" s="52">
        <f>IF($E19=2,MIN(Data!G17:BD17),"")</f>
        <v>0</v>
      </c>
      <c r="J19" s="52">
        <f>IF($E19=2,MAX(Data!G17:BD17),"")</f>
        <v>25</v>
      </c>
      <c r="K19" s="54">
        <f t="shared" si="2"/>
        <v>4</v>
      </c>
      <c r="L19" s="62" t="str">
        <f>tblIndicators!Z12</f>
        <v>1.2.1) Frequency of identity theft</v>
      </c>
      <c r="M19" s="63">
        <f>tblIndicators!AC12</f>
        <v>0.333333333333333</v>
      </c>
      <c r="N19" s="64">
        <f>CHOOSE($E19,SUMPRODUCT((N20:N$65)*($M20:$M$65)*($C20:C$65=$B19)),IF(NOT(ISNUMBER(Data!G17)),0,ABS(($F19*100)-(Data!G17-$I19)*$K19)),ABS(($F19*100)-(Data!G17-$G19)*$K19))</f>
        <v>90.92</v>
      </c>
      <c r="O19" s="64">
        <f>CHOOSE($E19,SUMPRODUCT((O20:O$65)*($M20:$M$65)*($C20:D$65=$B19)),IF(NOT(ISNUMBER(Data!H17)),0,ABS(($F19*100)-(Data!H17-$I19)*$K19)),ABS(($F19*100)-(Data!H17-$G19)*$K19))</f>
        <v>52</v>
      </c>
      <c r="P19" s="64">
        <f>CHOOSE($E19,SUMPRODUCT((P20:P$65)*($M20:$M$65)*($C20:E$65=$B19)),IF(NOT(ISNUMBER(Data!I17)),0,ABS(($F19*100)-(Data!I17-$I19)*$K19)),ABS(($F19*100)-(Data!I17-$G19)*$K19))</f>
        <v>98</v>
      </c>
      <c r="Q19" s="64">
        <f>CHOOSE($E19,SUMPRODUCT((Q20:Q$65)*($M20:$M$65)*($C20:F$65=$B19)),IF(NOT(ISNUMBER(Data!J17)),0,ABS(($F19*100)-(Data!J17-$I19)*$K19)),ABS(($F19*100)-(Data!J17-$G19)*$K19))</f>
        <v>72</v>
      </c>
      <c r="R19" s="64">
        <f>CHOOSE($E19,SUMPRODUCT((R20:R$65)*($M20:$M$65)*($C20:G$65=$B19)),IF(NOT(ISNUMBER(Data!K17)),0,ABS(($F19*100)-(Data!K17-$I19)*$K19)),ABS(($F19*100)-(Data!K17-$G19)*$K19))</f>
        <v>72</v>
      </c>
      <c r="S19" s="64">
        <f>CHOOSE($E19,SUMPRODUCT((S20:S$65)*($M20:$M$65)*($C20:H$65=$B19)),IF(NOT(ISNUMBER(Data!L17)),0,ABS(($F19*100)-(Data!L17-$I19)*$K19)),ABS(($F19*100)-(Data!L17-$G19)*$K19))</f>
        <v>84</v>
      </c>
      <c r="T19" s="64">
        <f>CHOOSE($E19,SUMPRODUCT((T20:T$65)*($M20:$M$65)*($C20:I$65=$B19)),IF(NOT(ISNUMBER(Data!M17)),0,ABS(($F19*100)-(Data!M17-$I19)*$K19)),ABS(($F19*100)-(Data!M17-$G19)*$K19))</f>
        <v>84</v>
      </c>
      <c r="U19" s="64">
        <f>CHOOSE($E19,SUMPRODUCT((U20:U$65)*($M20:$M$65)*($C20:J$65=$B19)),IF(NOT(ISNUMBER(Data!N17)),0,ABS(($F19*100)-(Data!N17-$I19)*$K19)),ABS(($F19*100)-(Data!N17-$G19)*$K19))</f>
        <v>84</v>
      </c>
      <c r="V19" s="64">
        <f>CHOOSE($E19,SUMPRODUCT((V20:V$65)*($M20:$M$65)*($C20:K$65=$B19)),IF(NOT(ISNUMBER(Data!O17)),0,ABS(($F19*100)-(Data!O17-$I19)*$K19)),ABS(($F19*100)-(Data!O17-$G19)*$K19))</f>
        <v>84</v>
      </c>
      <c r="W19" s="64">
        <f>CHOOSE($E19,SUMPRODUCT((W20:W$65)*($M20:$M$65)*($C20:L$65=$B19)),IF(NOT(ISNUMBER(Data!P17)),0,ABS(($F19*100)-(Data!P17-$I19)*$K19)),ABS(($F19*100)-(Data!P17-$G19)*$K19))</f>
        <v>84</v>
      </c>
      <c r="X19" s="64">
        <f>CHOOSE($E19,SUMPRODUCT((X20:X$65)*($M20:$M$65)*($C20:M$65=$B19)),IF(NOT(ISNUMBER(Data!Q17)),0,ABS(($F19*100)-(Data!Q17-$I19)*$K19)),ABS(($F19*100)-(Data!Q17-$G19)*$K19))</f>
        <v>76</v>
      </c>
      <c r="Y19" s="64">
        <f>CHOOSE($E19,SUMPRODUCT((Y20:Y$65)*($M20:$M$65)*($C20:N$65=$B19)),IF(NOT(ISNUMBER(Data!R17)),0,ABS(($F19*100)-(Data!R17-$I19)*$K19)),ABS(($F19*100)-(Data!R17-$G19)*$K19))</f>
        <v>99.56</v>
      </c>
      <c r="Z19" s="64">
        <f>CHOOSE($E19,SUMPRODUCT((Z20:Z$65)*($M20:$M$65)*($C20:O$65=$B19)),IF(NOT(ISNUMBER(Data!S17)),0,ABS(($F19*100)-(Data!S17-$I19)*$K19)),ABS(($F19*100)-(Data!S17-$G19)*$K19))</f>
        <v>98</v>
      </c>
      <c r="AA19" s="64">
        <f>CHOOSE($E19,SUMPRODUCT((AA20:AA$65)*($M20:$M$65)*($C20:P$65=$B19)),IF(NOT(ISNUMBER(Data!T17)),0,ABS(($F19*100)-(Data!T17-$I19)*$K19)),ABS(($F19*100)-(Data!T17-$G19)*$K19))</f>
        <v>84</v>
      </c>
      <c r="AB19" s="64">
        <f>CHOOSE($E19,SUMPRODUCT((AB20:AB$65)*($M20:$M$65)*($C20:Q$65=$B19)),IF(NOT(ISNUMBER(Data!U17)),0,ABS(($F19*100)-(Data!U17-$I19)*$K19)),ABS(($F19*100)-(Data!U17-$G19)*$K19))</f>
        <v>84</v>
      </c>
      <c r="AC19" s="64">
        <f>CHOOSE($E19,SUMPRODUCT((AC20:AC$65)*($M20:$M$65)*($C20:R$65=$B19)),IF(NOT(ISNUMBER(Data!V17)),0,ABS(($F19*100)-(Data!V17-$I19)*$K19)),ABS(($F19*100)-(Data!V17-$G19)*$K19))</f>
        <v>80</v>
      </c>
      <c r="AD19" s="64">
        <f>CHOOSE($E19,SUMPRODUCT((AD20:AD$65)*($M20:$M$65)*($C20:S$65=$B19)),IF(NOT(ISNUMBER(Data!W17)),0,ABS(($F19*100)-(Data!W17-$I19)*$K19)),ABS(($F19*100)-(Data!W17-$G19)*$K19))</f>
        <v>80</v>
      </c>
      <c r="AE19" s="64">
        <f>CHOOSE($E19,SUMPRODUCT((AE20:AE$65)*($M20:$M$65)*($C20:T$65=$B19)),IF(NOT(ISNUMBER(Data!X17)),0,ABS(($F19*100)-(Data!X17-$I19)*$K19)),ABS(($F19*100)-(Data!X17-$G19)*$K19))</f>
        <v>98</v>
      </c>
      <c r="AF19" s="64">
        <f>CHOOSE($E19,SUMPRODUCT((AF20:AF$65)*($M20:$M$65)*($C20:U$65=$B19)),IF(NOT(ISNUMBER(Data!Y17)),0,ABS(($F19*100)-(Data!Y17-$I19)*$K19)),ABS(($F19*100)-(Data!Y17-$G19)*$K19))</f>
        <v>44</v>
      </c>
      <c r="AG19" s="64">
        <f>CHOOSE($E19,SUMPRODUCT((AG20:AG$65)*($M20:$M$65)*($C20:V$65=$B19)),IF(NOT(ISNUMBER(Data!Z17)),0,ABS(($F19*100)-(Data!Z17-$I19)*$K19)),ABS(($F19*100)-(Data!Z17-$G19)*$K19))</f>
        <v>44</v>
      </c>
      <c r="AH19" s="64">
        <f>CHOOSE($E19,SUMPRODUCT((AH20:AH$65)*($M20:$M$65)*($C20:W$65=$B19)),IF(NOT(ISNUMBER(Data!AA17)),0,ABS(($F19*100)-(Data!AA17-$I19)*$K19)),ABS(($F19*100)-(Data!AA17-$G19)*$K19))</f>
        <v>44</v>
      </c>
      <c r="AI19" s="64">
        <f>CHOOSE($E19,SUMPRODUCT((AI20:AI$65)*($M20:$M$65)*($C20:X$65=$B19)),IF(NOT(ISNUMBER(Data!AB17)),0,ABS(($F19*100)-(Data!AB17-$I19)*$K19)),ABS(($F19*100)-(Data!AB17-$G19)*$K19))</f>
        <v>44</v>
      </c>
      <c r="AJ19" s="64">
        <f>CHOOSE($E19,SUMPRODUCT((AJ20:AJ$65)*($M20:$M$65)*($C20:Y$65=$B19)),IF(NOT(ISNUMBER(Data!AC17)),0,ABS(($F19*100)-(Data!AC17-$I19)*$K19)),ABS(($F19*100)-(Data!AC17-$G19)*$K19))</f>
        <v>44</v>
      </c>
      <c r="AK19" s="64">
        <f>CHOOSE($E19,SUMPRODUCT((AK20:AK$65)*($M20:$M$65)*($C20:Z$65=$B19)),IF(NOT(ISNUMBER(Data!AD17)),0,ABS(($F19*100)-(Data!AD17-$I19)*$K19)),ABS(($F19*100)-(Data!AD17-$G19)*$K19))</f>
        <v>52</v>
      </c>
      <c r="AL19" s="64">
        <f>CHOOSE($E19,SUMPRODUCT((AL20:AL$65)*($M20:$M$65)*($C20:AA$65=$B19)),IF(NOT(ISNUMBER(Data!AE17)),0,ABS(($F19*100)-(Data!AE17-$I19)*$K19)),ABS(($F19*100)-(Data!AE17-$G19)*$K19))</f>
        <v>52</v>
      </c>
      <c r="AM19" s="64">
        <f>CHOOSE($E19,SUMPRODUCT((AM20:AM$65)*($M20:$M$65)*($C20:AB$65=$B19)),IF(NOT(ISNUMBER(Data!AF17)),0,ABS(($F19*100)-(Data!AF17-$I19)*$K19)),ABS(($F19*100)-(Data!AF17-$G19)*$K19))</f>
        <v>56</v>
      </c>
      <c r="AN19" s="64">
        <f>CHOOSE($E19,SUMPRODUCT((AN20:AN$65)*($M20:$M$65)*($C20:AC$65=$B19)),IF(NOT(ISNUMBER(Data!AG17)),0,ABS(($F19*100)-(Data!AG17-$I19)*$K19)),ABS(($F19*100)-(Data!AG17-$G19)*$K19))</f>
        <v>100</v>
      </c>
      <c r="AO19" s="64">
        <f>CHOOSE($E19,SUMPRODUCT((AO20:AO$65)*($M20:$M$65)*($C20:AD$65=$B19)),IF(NOT(ISNUMBER(Data!AH17)),0,ABS(($F19*100)-(Data!AH17-$I19)*$K19)),ABS(($F19*100)-(Data!AH17-$G19)*$K19))</f>
        <v>96</v>
      </c>
      <c r="AP19" s="64">
        <f>CHOOSE($E19,SUMPRODUCT((AP20:AP$65)*($M20:$M$65)*($C20:AE$65=$B19)),IF(NOT(ISNUMBER(Data!AI17)),0,ABS(($F19*100)-(Data!AI17-$I19)*$K19)),ABS(($F19*100)-(Data!AI17-$G19)*$K19))</f>
        <v>96</v>
      </c>
      <c r="AQ19" s="64">
        <f>CHOOSE($E19,SUMPRODUCT((AQ20:AQ$65)*($M20:$M$65)*($C20:AF$65=$B19)),IF(NOT(ISNUMBER(Data!AJ17)),0,ABS(($F19*100)-(Data!AJ17-$I19)*$K19)),ABS(($F19*100)-(Data!AJ17-$G19)*$K19))</f>
        <v>72</v>
      </c>
      <c r="AR19" s="64">
        <f>CHOOSE($E19,SUMPRODUCT((AR20:AR$65)*($M20:$M$65)*($C20:AG$65=$B19)),IF(NOT(ISNUMBER(Data!AK17)),0,ABS(($F19*100)-(Data!AK17-$I19)*$K19)),ABS(($F19*100)-(Data!AK17-$G19)*$K19))</f>
        <v>0</v>
      </c>
      <c r="AS19" s="64">
        <f>CHOOSE($E19,SUMPRODUCT((AS20:AS$65)*($M20:$M$65)*($C20:AH$65=$B19)),IF(NOT(ISNUMBER(Data!AL17)),0,ABS(($F19*100)-(Data!AL17-$I19)*$K19)),ABS(($F19*100)-(Data!AL17-$G19)*$K19))</f>
        <v>98</v>
      </c>
      <c r="AT19" s="64">
        <f>CHOOSE($E19,SUMPRODUCT((AT20:AT$65)*($M20:$M$65)*($C20:AI$65=$B19)),IF(NOT(ISNUMBER(Data!AM17)),0,ABS(($F19*100)-(Data!AM17-$I19)*$K19)),ABS(($F19*100)-(Data!AM17-$G19)*$K19))</f>
        <v>98</v>
      </c>
      <c r="AU19" s="64">
        <f>CHOOSE($E19,SUMPRODUCT((AU20:AU$65)*($M20:$M$65)*($C20:AJ$65=$B19)),IF(NOT(ISNUMBER(Data!AN17)),0,ABS(($F19*100)-(Data!AN17-$I19)*$K19)),ABS(($F19*100)-(Data!AN17-$G19)*$K19))</f>
        <v>98</v>
      </c>
      <c r="AV19" s="64">
        <f>CHOOSE($E19,SUMPRODUCT((AV20:AV$65)*($M20:$M$65)*($C20:AK$65=$B19)),IF(NOT(ISNUMBER(Data!AO17)),0,ABS(($F19*100)-(Data!AO17-$I19)*$K19)),ABS(($F19*100)-(Data!AO17-$G19)*$K19))</f>
        <v>98</v>
      </c>
      <c r="AW19" s="64">
        <f>CHOOSE($E19,SUMPRODUCT((AW20:AW$65)*($M20:$M$65)*($C20:AL$65=$B19)),IF(NOT(ISNUMBER(Data!AP17)),0,ABS(($F19*100)-(Data!AP17-$I19)*$K19)),ABS(($F19*100)-(Data!AP17-$G19)*$K19))</f>
        <v>98</v>
      </c>
      <c r="AX19" s="64">
        <f>CHOOSE($E19,SUMPRODUCT((AX20:AX$65)*($M20:$M$65)*($C20:AM$65=$B19)),IF(NOT(ISNUMBER(Data!AQ17)),0,ABS(($F19*100)-(Data!AQ17-$I19)*$K19)),ABS(($F19*100)-(Data!AQ17-$G19)*$K19))</f>
        <v>80</v>
      </c>
      <c r="AY19" s="64">
        <f>CHOOSE($E19,SUMPRODUCT((AY20:AY$65)*($M20:$M$65)*($C20:AN$65=$B19)),IF(NOT(ISNUMBER(Data!AR17)),0,ABS(($F19*100)-(Data!AR17-$I19)*$K19)),ABS(($F19*100)-(Data!AR17-$G19)*$K19))</f>
        <v>98</v>
      </c>
      <c r="AZ19" s="64">
        <f>CHOOSE($E19,SUMPRODUCT((AZ20:AZ$65)*($M20:$M$65)*($C20:AO$65=$B19)),IF(NOT(ISNUMBER(Data!AS17)),0,ABS(($F19*100)-(Data!AS17-$I19)*$K19)),ABS(($F19*100)-(Data!AS17-$G19)*$K19))</f>
        <v>92</v>
      </c>
      <c r="BA19" s="64">
        <f>CHOOSE($E19,SUMPRODUCT((BA20:BA$65)*($M20:$M$65)*($C20:AP$65=$B19)),IF(NOT(ISNUMBER(Data!AT17)),0,ABS(($F19*100)-(Data!AT17-$I19)*$K19)),ABS(($F19*100)-(Data!AT17-$G19)*$K19))</f>
        <v>96</v>
      </c>
      <c r="BB19" s="64">
        <f>CHOOSE($E19,SUMPRODUCT((BB20:BB$65)*($M20:$M$65)*($C20:AQ$65=$B19)),IF(NOT(ISNUMBER(Data!AU17)),0,ABS(($F19*100)-(Data!AU17-$I19)*$K19)),ABS(($F19*100)-(Data!AU17-$G19)*$K19))</f>
        <v>80</v>
      </c>
      <c r="BC19" s="64">
        <f>CHOOSE($E19,SUMPRODUCT((BC20:BC$65)*($M20:$M$65)*($C20:AR$65=$B19)),IF(NOT(ISNUMBER(Data!AV17)),0,ABS(($F19*100)-(Data!AV17-$I19)*$K19)),ABS(($F19*100)-(Data!AV17-$G19)*$K19))</f>
        <v>100</v>
      </c>
      <c r="BD19" s="64">
        <f>CHOOSE($E19,SUMPRODUCT((BD20:BD$65)*($M20:$M$65)*($C20:AS$65=$B19)),IF(NOT(ISNUMBER(Data!AW17)),0,ABS(($F19*100)-(Data!AW17-$I19)*$K19)),ABS(($F19*100)-(Data!AW17-$G19)*$K19))</f>
        <v>100</v>
      </c>
      <c r="BE19" s="64">
        <f>CHOOSE($E19,SUMPRODUCT((BE20:BE$65)*($M20:$M$65)*($C20:AT$65=$B19)),IF(NOT(ISNUMBER(Data!AX17)),0,ABS(($F19*100)-(Data!AX17-$I19)*$K19)),ABS(($F19*100)-(Data!AX17-$G19)*$K19))</f>
        <v>98.8</v>
      </c>
      <c r="BF19" s="64">
        <f>CHOOSE($E19,SUMPRODUCT((BF20:BF$65)*($M20:$M$65)*($C20:AU$65=$B19)),IF(NOT(ISNUMBER(Data!AY17)),0,ABS(($F19*100)-(Data!AY17-$I19)*$K19)),ABS(($F19*100)-(Data!AY17-$G19)*$K19))</f>
        <v>72</v>
      </c>
      <c r="BG19" s="64">
        <f>CHOOSE($E19,SUMPRODUCT((BG20:BG$65)*($M20:$M$65)*($C20:AV$65=$B19)),IF(NOT(ISNUMBER(Data!AZ17)),0,ABS(($F19*100)-(Data!AZ17-$I19)*$K19)),ABS(($F19*100)-(Data!AZ17-$G19)*$K19))</f>
        <v>76</v>
      </c>
      <c r="BH19" s="64">
        <f>CHOOSE($E19,SUMPRODUCT((BH20:BH$65)*($M20:$M$65)*($C20:AW$65=$B19)),IF(NOT(ISNUMBER(Data!BA17)),0,ABS(($F19*100)-(Data!BA17-$I19)*$K19)),ABS(($F19*100)-(Data!BA17-$G19)*$K19))</f>
        <v>76</v>
      </c>
      <c r="BI19" s="64">
        <f>CHOOSE($E19,SUMPRODUCT((BI20:BI$65)*($M20:$M$65)*($C20:AX$65=$B19)),IF(NOT(ISNUMBER(Data!BB17)),0,ABS(($F19*100)-(Data!BB17-$I19)*$K19)),ABS(($F19*100)-(Data!BB17-$G19)*$K19))</f>
        <v>96</v>
      </c>
      <c r="BJ19" s="64">
        <f>CHOOSE($E19,SUMPRODUCT((BJ20:BJ$65)*($M20:$M$65)*($C20:AY$65=$B19)),IF(NOT(ISNUMBER(Data!BC17)),0,ABS(($F19*100)-(Data!BC17-$I19)*$K19)),ABS(($F19*100)-(Data!BC17-$G19)*$K19))</f>
        <v>80</v>
      </c>
      <c r="BK19" s="64">
        <f>CHOOSE($E19,SUMPRODUCT((BK20:BK$65)*($M20:$M$65)*($C20:AZ$65=$B19)),IF(NOT(ISNUMBER(Data!BD17)),0,ABS(($F19*100)-(Data!BD17-$I19)*$K19)),ABS(($F19*100)-(Data!BD17-$G19)*$K19))</f>
        <v>88</v>
      </c>
      <c r="BM19" s="65"/>
    </row>
    <row r="20" s="22" customFormat="1" spans="1:65">
      <c r="A20" s="24"/>
      <c r="B20" s="24" t="str">
        <f>tblIndicators!B13</f>
        <v>DIGSEC_OP_02</v>
      </c>
      <c r="C20" s="24" t="str">
        <f>tblIndicators!C13</f>
        <v>DIGSEC_OP</v>
      </c>
      <c r="D20" s="52">
        <f>tblIndicators!D13</f>
        <v>3</v>
      </c>
      <c r="E20" s="52">
        <f>tblIndicators!M13</f>
        <v>3</v>
      </c>
      <c r="F20" s="52">
        <f>tblIndicators!N13</f>
        <v>1</v>
      </c>
      <c r="G20" s="52">
        <f>tblIndicators!Q13</f>
        <v>1</v>
      </c>
      <c r="H20" s="52">
        <f>tblIndicators!R13</f>
        <v>5</v>
      </c>
      <c r="I20" s="52" t="str">
        <f>IF($E20=2,MIN(Data!G18:BD18),"")</f>
        <v/>
      </c>
      <c r="J20" s="52" t="str">
        <f>IF($E20=2,MAX(Data!G18:BD18),"")</f>
        <v/>
      </c>
      <c r="K20" s="54">
        <f t="shared" si="2"/>
        <v>25</v>
      </c>
      <c r="L20" s="62" t="str">
        <f>tblIndicators!Z13</f>
        <v>1.2.2) Precentage of computers infected</v>
      </c>
      <c r="M20" s="63">
        <f>tblIndicators!AC13</f>
        <v>0.333333333333333</v>
      </c>
      <c r="N20" s="64">
        <f>CHOOSE($E20,SUMPRODUCT((N21:N$65)*($M21:$M$65)*($C21:C$65=$B20)),IF(NOT(ISNUMBER(Data!G18)),0,ABS(($F20*100)-(Data!G18-$I20)*$K20)),ABS(($F20*100)-(Data!G18-$G20)*$K20))</f>
        <v>50</v>
      </c>
      <c r="O20" s="64">
        <f>CHOOSE($E20,SUMPRODUCT((O21:O$65)*($M21:$M$65)*($C21:D$65=$B20)),IF(NOT(ISNUMBER(Data!H18)),0,ABS(($F20*100)-(Data!H18-$I20)*$K20)),ABS(($F20*100)-(Data!H18-$G20)*$K20))</f>
        <v>75</v>
      </c>
      <c r="P20" s="64">
        <f>CHOOSE($E20,SUMPRODUCT((P21:P$65)*($M21:$M$65)*($C21:E$65=$B20)),IF(NOT(ISNUMBER(Data!I18)),0,ABS(($F20*100)-(Data!I18-$I20)*$K20)),ABS(($F20*100)-(Data!I18-$G20)*$K20))</f>
        <v>75</v>
      </c>
      <c r="Q20" s="64">
        <f>CHOOSE($E20,SUMPRODUCT((Q21:Q$65)*($M21:$M$65)*($C21:F$65=$B20)),IF(NOT(ISNUMBER(Data!J18)),0,ABS(($F20*100)-(Data!J18-$I20)*$K20)),ABS(($F20*100)-(Data!J18-$G20)*$K20))</f>
        <v>50</v>
      </c>
      <c r="R20" s="64">
        <f>CHOOSE($E20,SUMPRODUCT((R21:R$65)*($M21:$M$65)*($C21:G$65=$B20)),IF(NOT(ISNUMBER(Data!K18)),0,ABS(($F20*100)-(Data!K18-$I20)*$K20)),ABS(($F20*100)-(Data!K18-$G20)*$K20))</f>
        <v>50</v>
      </c>
      <c r="S20" s="64">
        <f>CHOOSE($E20,SUMPRODUCT((S21:S$65)*($M21:$M$65)*($C21:H$65=$B20)),IF(NOT(ISNUMBER(Data!L18)),0,ABS(($F20*100)-(Data!L18-$I20)*$K20)),ABS(($F20*100)-(Data!L18-$G20)*$K20))</f>
        <v>50</v>
      </c>
      <c r="T20" s="64">
        <f>CHOOSE($E20,SUMPRODUCT((T21:T$65)*($M21:$M$65)*($C21:I$65=$B20)),IF(NOT(ISNUMBER(Data!M18)),0,ABS(($F20*100)-(Data!M18-$I20)*$K20)),ABS(($F20*100)-(Data!M18-$G20)*$K20))</f>
        <v>50</v>
      </c>
      <c r="U20" s="64">
        <f>CHOOSE($E20,SUMPRODUCT((U21:U$65)*($M21:$M$65)*($C21:J$65=$B20)),IF(NOT(ISNUMBER(Data!N18)),0,ABS(($F20*100)-(Data!N18-$I20)*$K20)),ABS(($F20*100)-(Data!N18-$G20)*$K20))</f>
        <v>50</v>
      </c>
      <c r="V20" s="64">
        <f>CHOOSE($E20,SUMPRODUCT((V21:V$65)*($M21:$M$65)*($C21:K$65=$B20)),IF(NOT(ISNUMBER(Data!O18)),0,ABS(($F20*100)-(Data!O18-$I20)*$K20)),ABS(($F20*100)-(Data!O18-$G20)*$K20))</f>
        <v>50</v>
      </c>
      <c r="W20" s="64">
        <f>CHOOSE($E20,SUMPRODUCT((W21:W$65)*($M21:$M$65)*($C21:L$65=$B20)),IF(NOT(ISNUMBER(Data!P18)),0,ABS(($F20*100)-(Data!P18-$I20)*$K20)),ABS(($F20*100)-(Data!P18-$G20)*$K20))</f>
        <v>50</v>
      </c>
      <c r="X20" s="64">
        <f>CHOOSE($E20,SUMPRODUCT((X21:X$65)*($M21:$M$65)*($C21:M$65=$B20)),IF(NOT(ISNUMBER(Data!Q18)),0,ABS(($F20*100)-(Data!Q18-$I20)*$K20)),ABS(($F20*100)-(Data!Q18-$G20)*$K20))</f>
        <v>75</v>
      </c>
      <c r="Y20" s="64">
        <f>CHOOSE($E20,SUMPRODUCT((Y21:Y$65)*($M21:$M$65)*($C21:N$65=$B20)),IF(NOT(ISNUMBER(Data!R18)),0,ABS(($F20*100)-(Data!R18-$I20)*$K20)),ABS(($F20*100)-(Data!R18-$G20)*$K20))</f>
        <v>50</v>
      </c>
      <c r="Z20" s="64">
        <f>CHOOSE($E20,SUMPRODUCT((Z21:Z$65)*($M21:$M$65)*($C21:O$65=$B20)),IF(NOT(ISNUMBER(Data!S18)),0,ABS(($F20*100)-(Data!S18-$I20)*$K20)),ABS(($F20*100)-(Data!S18-$G20)*$K20))</f>
        <v>75</v>
      </c>
      <c r="AA20" s="64">
        <f>CHOOSE($E20,SUMPRODUCT((AA21:AA$65)*($M21:$M$65)*($C21:P$65=$B20)),IF(NOT(ISNUMBER(Data!T18)),0,ABS(($F20*100)-(Data!T18-$I20)*$K20)),ABS(($F20*100)-(Data!T18-$G20)*$K20))</f>
        <v>50</v>
      </c>
      <c r="AB20" s="64">
        <f>CHOOSE($E20,SUMPRODUCT((AB21:AB$65)*($M21:$M$65)*($C21:Q$65=$B20)),IF(NOT(ISNUMBER(Data!U18)),0,ABS(($F20*100)-(Data!U18-$I20)*$K20)),ABS(($F20*100)-(Data!U18-$G20)*$K20))</f>
        <v>50</v>
      </c>
      <c r="AC20" s="64">
        <f>CHOOSE($E20,SUMPRODUCT((AC21:AC$65)*($M21:$M$65)*($C21:R$65=$B20)),IF(NOT(ISNUMBER(Data!V18)),0,ABS(($F20*100)-(Data!V18-$I20)*$K20)),ABS(($F20*100)-(Data!V18-$G20)*$K20))</f>
        <v>50</v>
      </c>
      <c r="AD20" s="64">
        <f>CHOOSE($E20,SUMPRODUCT((AD21:AD$65)*($M21:$M$65)*($C21:S$65=$B20)),IF(NOT(ISNUMBER(Data!W18)),0,ABS(($F20*100)-(Data!W18-$I20)*$K20)),ABS(($F20*100)-(Data!W18-$G20)*$K20))</f>
        <v>50</v>
      </c>
      <c r="AE20" s="64">
        <f>CHOOSE($E20,SUMPRODUCT((AE21:AE$65)*($M21:$M$65)*($C21:T$65=$B20)),IF(NOT(ISNUMBER(Data!X18)),0,ABS(($F20*100)-(Data!X18-$I20)*$K20)),ABS(($F20*100)-(Data!X18-$G20)*$K20))</f>
        <v>50</v>
      </c>
      <c r="AF20" s="64">
        <f>CHOOSE($E20,SUMPRODUCT((AF21:AF$65)*($M21:$M$65)*($C21:U$65=$B20)),IF(NOT(ISNUMBER(Data!Y18)),0,ABS(($F20*100)-(Data!Y18-$I20)*$K20)),ABS(($F20*100)-(Data!Y18-$G20)*$K20))</f>
        <v>50</v>
      </c>
      <c r="AG20" s="64">
        <f>CHOOSE($E20,SUMPRODUCT((AG21:AG$65)*($M21:$M$65)*($C21:V$65=$B20)),IF(NOT(ISNUMBER(Data!Z18)),0,ABS(($F20*100)-(Data!Z18-$I20)*$K20)),ABS(($F20*100)-(Data!Z18-$G20)*$K20))</f>
        <v>50</v>
      </c>
      <c r="AH20" s="64">
        <f>CHOOSE($E20,SUMPRODUCT((AH21:AH$65)*($M21:$M$65)*($C21:W$65=$B20)),IF(NOT(ISNUMBER(Data!AA18)),0,ABS(($F20*100)-(Data!AA18-$I20)*$K20)),ABS(($F20*100)-(Data!AA18-$G20)*$K20))</f>
        <v>50</v>
      </c>
      <c r="AI20" s="64">
        <f>CHOOSE($E20,SUMPRODUCT((AI21:AI$65)*($M21:$M$65)*($C21:X$65=$B20)),IF(NOT(ISNUMBER(Data!AB18)),0,ABS(($F20*100)-(Data!AB18-$I20)*$K20)),ABS(($F20*100)-(Data!AB18-$G20)*$K20))</f>
        <v>50</v>
      </c>
      <c r="AJ20" s="64">
        <f>CHOOSE($E20,SUMPRODUCT((AJ21:AJ$65)*($M21:$M$65)*($C21:Y$65=$B20)),IF(NOT(ISNUMBER(Data!AC18)),0,ABS(($F20*100)-(Data!AC18-$I20)*$K20)),ABS(($F20*100)-(Data!AC18-$G20)*$K20))</f>
        <v>50</v>
      </c>
      <c r="AK20" s="64">
        <f>CHOOSE($E20,SUMPRODUCT((AK21:AK$65)*($M21:$M$65)*($C21:Z$65=$B20)),IF(NOT(ISNUMBER(Data!AD18)),0,ABS(($F20*100)-(Data!AD18-$I20)*$K20)),ABS(($F20*100)-(Data!AD18-$G20)*$K20))</f>
        <v>50</v>
      </c>
      <c r="AL20" s="64">
        <f>CHOOSE($E20,SUMPRODUCT((AL21:AL$65)*($M21:$M$65)*($C21:AA$65=$B20)),IF(NOT(ISNUMBER(Data!AE18)),0,ABS(($F20*100)-(Data!AE18-$I20)*$K20)),ABS(($F20*100)-(Data!AE18-$G20)*$K20))</f>
        <v>50</v>
      </c>
      <c r="AM20" s="64">
        <f>CHOOSE($E20,SUMPRODUCT((AM21:AM$65)*($M21:$M$65)*($C21:AB$65=$B20)),IF(NOT(ISNUMBER(Data!AF18)),0,ABS(($F20*100)-(Data!AF18-$I20)*$K20)),ABS(($F20*100)-(Data!AF18-$G20)*$K20))</f>
        <v>50</v>
      </c>
      <c r="AN20" s="64">
        <f>CHOOSE($E20,SUMPRODUCT((AN21:AN$65)*($M21:$M$65)*($C21:AC$65=$B20)),IF(NOT(ISNUMBER(Data!AG18)),0,ABS(($F20*100)-(Data!AG18-$I20)*$K20)),ABS(($F20*100)-(Data!AG18-$G20)*$K20))</f>
        <v>50</v>
      </c>
      <c r="AO20" s="64">
        <f>CHOOSE($E20,SUMPRODUCT((AO21:AO$65)*($M21:$M$65)*($C21:AD$65=$B20)),IF(NOT(ISNUMBER(Data!AH18)),0,ABS(($F20*100)-(Data!AH18-$I20)*$K20)),ABS(($F20*100)-(Data!AH18-$G20)*$K20))</f>
        <v>100</v>
      </c>
      <c r="AP20" s="64">
        <f>CHOOSE($E20,SUMPRODUCT((AP21:AP$65)*($M21:$M$65)*($C21:AE$65=$B20)),IF(NOT(ISNUMBER(Data!AI18)),0,ABS(($F20*100)-(Data!AI18-$I20)*$K20)),ABS(($F20*100)-(Data!AI18-$G20)*$K20))</f>
        <v>100</v>
      </c>
      <c r="AQ20" s="64">
        <f>CHOOSE($E20,SUMPRODUCT((AQ21:AQ$65)*($M21:$M$65)*($C21:AF$65=$B20)),IF(NOT(ISNUMBER(Data!AJ18)),0,ABS(($F20*100)-(Data!AJ18-$I20)*$K20)),ABS(($F20*100)-(Data!AJ18-$G20)*$K20))</f>
        <v>100</v>
      </c>
      <c r="AR20" s="64">
        <f>CHOOSE($E20,SUMPRODUCT((AR21:AR$65)*($M21:$M$65)*($C21:AG$65=$B20)),IF(NOT(ISNUMBER(Data!AK18)),0,ABS(($F20*100)-(Data!AK18-$I20)*$K20)),ABS(($F20*100)-(Data!AK18-$G20)*$K20))</f>
        <v>50</v>
      </c>
      <c r="AS20" s="64">
        <f>CHOOSE($E20,SUMPRODUCT((AS21:AS$65)*($M21:$M$65)*($C21:AH$65=$B20)),IF(NOT(ISNUMBER(Data!AL18)),0,ABS(($F20*100)-(Data!AL18-$I20)*$K20)),ABS(($F20*100)-(Data!AL18-$G20)*$K20))</f>
        <v>75</v>
      </c>
      <c r="AT20" s="64">
        <f>CHOOSE($E20,SUMPRODUCT((AT21:AT$65)*($M21:$M$65)*($C21:AI$65=$B20)),IF(NOT(ISNUMBER(Data!AM18)),0,ABS(($F20*100)-(Data!AM18-$I20)*$K20)),ABS(($F20*100)-(Data!AM18-$G20)*$K20))</f>
        <v>25</v>
      </c>
      <c r="AU20" s="64">
        <f>CHOOSE($E20,SUMPRODUCT((AU21:AU$65)*($M21:$M$65)*($C21:AJ$65=$B20)),IF(NOT(ISNUMBER(Data!AN18)),0,ABS(($F20*100)-(Data!AN18-$I20)*$K20)),ABS(($F20*100)-(Data!AN18-$G20)*$K20))</f>
        <v>0</v>
      </c>
      <c r="AV20" s="64">
        <f>CHOOSE($E20,SUMPRODUCT((AV21:AV$65)*($M21:$M$65)*($C21:AK$65=$B20)),IF(NOT(ISNUMBER(Data!AO18)),0,ABS(($F20*100)-(Data!AO18-$I20)*$K20)),ABS(($F20*100)-(Data!AO18-$G20)*$K20))</f>
        <v>50</v>
      </c>
      <c r="AW20" s="64">
        <f>CHOOSE($E20,SUMPRODUCT((AW21:AW$65)*($M21:$M$65)*($C21:AL$65=$B20)),IF(NOT(ISNUMBER(Data!AP18)),0,ABS(($F20*100)-(Data!AP18-$I20)*$K20)),ABS(($F20*100)-(Data!AP18-$G20)*$K20))</f>
        <v>50</v>
      </c>
      <c r="AX20" s="64">
        <f>CHOOSE($E20,SUMPRODUCT((AX21:AX$65)*($M21:$M$65)*($C21:AM$65=$B20)),IF(NOT(ISNUMBER(Data!AQ18)),0,ABS(($F20*100)-(Data!AQ18-$I20)*$K20)),ABS(($F20*100)-(Data!AQ18-$G20)*$K20))</f>
        <v>25</v>
      </c>
      <c r="AY20" s="64">
        <f>CHOOSE($E20,SUMPRODUCT((AY21:AY$65)*($M21:$M$65)*($C21:AN$65=$B20)),IF(NOT(ISNUMBER(Data!AR18)),0,ABS(($F20*100)-(Data!AR18-$I20)*$K20)),ABS(($F20*100)-(Data!AR18-$G20)*$K20))</f>
        <v>50</v>
      </c>
      <c r="AZ20" s="64">
        <f>CHOOSE($E20,SUMPRODUCT((AZ21:AZ$65)*($M21:$M$65)*($C21:AO$65=$B20)),IF(NOT(ISNUMBER(Data!AS18)),0,ABS(($F20*100)-(Data!AS18-$I20)*$K20)),ABS(($F20*100)-(Data!AS18-$G20)*$K20))</f>
        <v>50</v>
      </c>
      <c r="BA20" s="64">
        <f>CHOOSE($E20,SUMPRODUCT((BA21:BA$65)*($M21:$M$65)*($C21:AP$65=$B20)),IF(NOT(ISNUMBER(Data!AT18)),0,ABS(($F20*100)-(Data!AT18-$I20)*$K20)),ABS(($F20*100)-(Data!AT18-$G20)*$K20))</f>
        <v>25</v>
      </c>
      <c r="BB20" s="64">
        <f>CHOOSE($E20,SUMPRODUCT((BB21:BB$65)*($M21:$M$65)*($C21:AQ$65=$B20)),IF(NOT(ISNUMBER(Data!AU18)),0,ABS(($F20*100)-(Data!AU18-$I20)*$K20)),ABS(($F20*100)-(Data!AU18-$G20)*$K20))</f>
        <v>25</v>
      </c>
      <c r="BC20" s="64">
        <f>CHOOSE($E20,SUMPRODUCT((BC21:BC$65)*($M21:$M$65)*($C21:AR$65=$B20)),IF(NOT(ISNUMBER(Data!AV18)),0,ABS(($F20*100)-(Data!AV18-$I20)*$K20)),ABS(($F20*100)-(Data!AV18-$G20)*$K20))</f>
        <v>50</v>
      </c>
      <c r="BD20" s="64">
        <f>CHOOSE($E20,SUMPRODUCT((BD21:BD$65)*($M21:$M$65)*($C21:AS$65=$B20)),IF(NOT(ISNUMBER(Data!AW18)),0,ABS(($F20*100)-(Data!AW18-$I20)*$K20)),ABS(($F20*100)-(Data!AW18-$G20)*$K20))</f>
        <v>50</v>
      </c>
      <c r="BE20" s="64">
        <f>CHOOSE($E20,SUMPRODUCT((BE21:BE$65)*($M21:$M$65)*($C21:AT$65=$B20)),IF(NOT(ISNUMBER(Data!AX18)),0,ABS(($F20*100)-(Data!AX18-$I20)*$K20)),ABS(($F20*100)-(Data!AX18-$G20)*$K20))</f>
        <v>75</v>
      </c>
      <c r="BF20" s="64">
        <f>CHOOSE($E20,SUMPRODUCT((BF21:BF$65)*($M21:$M$65)*($C21:AU$65=$B20)),IF(NOT(ISNUMBER(Data!AY18)),0,ABS(($F20*100)-(Data!AY18-$I20)*$K20)),ABS(($F20*100)-(Data!AY18-$G20)*$K20))</f>
        <v>0</v>
      </c>
      <c r="BG20" s="64">
        <f>CHOOSE($E20,SUMPRODUCT((BG21:BG$65)*($M21:$M$65)*($C21:AV$65=$B20)),IF(NOT(ISNUMBER(Data!AZ18)),0,ABS(($F20*100)-(Data!AZ18-$I20)*$K20)),ABS(($F20*100)-(Data!AZ18-$G20)*$K20))</f>
        <v>25</v>
      </c>
      <c r="BH20" s="64">
        <f>CHOOSE($E20,SUMPRODUCT((BH21:BH$65)*($M21:$M$65)*($C21:AW$65=$B20)),IF(NOT(ISNUMBER(Data!BA18)),0,ABS(($F20*100)-(Data!BA18-$I20)*$K20)),ABS(($F20*100)-(Data!BA18-$G20)*$K20))</f>
        <v>25</v>
      </c>
      <c r="BI20" s="64">
        <f>CHOOSE($E20,SUMPRODUCT((BI21:BI$65)*($M21:$M$65)*($C21:AX$65=$B20)),IF(NOT(ISNUMBER(Data!BB18)),0,ABS(($F20*100)-(Data!BB18-$I20)*$K20)),ABS(($F20*100)-(Data!BB18-$G20)*$K20))</f>
        <v>50</v>
      </c>
      <c r="BJ20" s="64">
        <f>CHOOSE($E20,SUMPRODUCT((BJ21:BJ$65)*($M21:$M$65)*($C21:AY$65=$B20)),IF(NOT(ISNUMBER(Data!BC18)),0,ABS(($F20*100)-(Data!BC18-$I20)*$K20)),ABS(($F20*100)-(Data!BC18-$G20)*$K20))</f>
        <v>25</v>
      </c>
      <c r="BK20" s="64">
        <f>CHOOSE($E20,SUMPRODUCT((BK21:BK$65)*($M21:$M$65)*($C21:AZ$65=$B20)),IF(NOT(ISNUMBER(Data!BD18)),0,ABS(($F20*100)-(Data!BD18-$I20)*$K20)),ABS(($F20*100)-(Data!BD18-$G20)*$K20))</f>
        <v>50</v>
      </c>
      <c r="BM20" s="65"/>
    </row>
    <row r="21" s="21" customFormat="1" spans="1:65">
      <c r="A21" s="24"/>
      <c r="B21" s="24" t="str">
        <f>tblIndicators!B14</f>
        <v>DIGSEC_OP_03</v>
      </c>
      <c r="C21" s="24" t="str">
        <f>tblIndicators!C14</f>
        <v>DIGSEC_OP</v>
      </c>
      <c r="D21" s="52">
        <f>tblIndicators!D14</f>
        <v>3</v>
      </c>
      <c r="E21" s="52">
        <f>tblIndicators!M14</f>
        <v>2</v>
      </c>
      <c r="F21" s="52">
        <f>tblIndicators!N14</f>
        <v>0</v>
      </c>
      <c r="G21" s="52">
        <f>tblIndicators!Q14</f>
        <v>0</v>
      </c>
      <c r="H21" s="52">
        <f>tblIndicators!R14</f>
        <v>0</v>
      </c>
      <c r="I21" s="52">
        <f>IF($E21=2,MIN(Data!G19:BD19),"")</f>
        <v>0.072</v>
      </c>
      <c r="J21" s="52">
        <f>IF($E21=2,MAX(Data!G19:BD19),"")</f>
        <v>0.948</v>
      </c>
      <c r="K21" s="54">
        <f t="shared" si="2"/>
        <v>114.155251141553</v>
      </c>
      <c r="L21" s="62" t="str">
        <f>tblIndicators!Z14</f>
        <v>1.2.3) Percent with internet access</v>
      </c>
      <c r="M21" s="63">
        <f>tblIndicators!AC14</f>
        <v>0.333333333333333</v>
      </c>
      <c r="N21" s="64">
        <f>CHOOSE($E21,SUMPRODUCT((N22:N$65)*($M22:$M$65)*($C22:C$65=$B21)),IF(NOT(ISNUMBER(Data!G19)),0,ABS(($F21*100)-(Data!G19-$I21)*$K21)),ABS(($F21*100)-(Data!G19-$G21)*$K21))</f>
        <v>100</v>
      </c>
      <c r="O21" s="64">
        <f>CHOOSE($E21,SUMPRODUCT((O22:O$65)*($M22:$M$65)*($C22:D$65=$B21)),IF(NOT(ISNUMBER(Data!H19)),0,ABS(($F21*100)-(Data!H19-$I21)*$K21)),ABS(($F21*100)-(Data!H19-$G21)*$K21))</f>
        <v>53.4246575342466</v>
      </c>
      <c r="P21" s="64">
        <f>CHOOSE($E21,SUMPRODUCT((P22:P$65)*($M22:$M$65)*($C22:E$65=$B21)),IF(NOT(ISNUMBER(Data!I19)),0,ABS(($F21*100)-(Data!I19-$I21)*$K21)),ABS(($F21*100)-(Data!I19-$G21)*$K21))</f>
        <v>69.5091324200913</v>
      </c>
      <c r="Q21" s="64">
        <f>CHOOSE($E21,SUMPRODUCT((Q22:Q$65)*($M22:$M$65)*($C22:F$65=$B21)),IF(NOT(ISNUMBER(Data!J19)),0,ABS(($F21*100)-(Data!J19-$I21)*$K21)),ABS(($F21*100)-(Data!J19-$G21)*$K21))</f>
        <v>46.5753424657534</v>
      </c>
      <c r="R21" s="64">
        <f>CHOOSE($E21,SUMPRODUCT((R22:R$65)*($M22:$M$65)*($C22:G$65=$B21)),IF(NOT(ISNUMBER(Data!K19)),0,ABS(($F21*100)-(Data!K19-$I21)*$K21)),ABS(($F21*100)-(Data!K19-$G21)*$K21))</f>
        <v>45.4337899543379</v>
      </c>
      <c r="S21" s="64">
        <f>CHOOSE($E21,SUMPRODUCT((S22:S$65)*($M22:$M$65)*($C22:H$65=$B21)),IF(NOT(ISNUMBER(Data!L19)),0,ABS(($F21*100)-(Data!L19-$I21)*$K21)),ABS(($F21*100)-(Data!L19-$G21)*$K21))</f>
        <v>89.9543378995434</v>
      </c>
      <c r="T21" s="64">
        <f>CHOOSE($E21,SUMPRODUCT((T22:T$65)*($M22:$M$65)*($C22:I$65=$B21)),IF(NOT(ISNUMBER(Data!M19)),0,ABS(($F21*100)-(Data!M19-$I21)*$K21)),ABS(($F21*100)-(Data!M19-$G21)*$K21))</f>
        <v>83.1050228310502</v>
      </c>
      <c r="U21" s="64">
        <f>CHOOSE($E21,SUMPRODUCT((U22:U$65)*($M22:$M$65)*($C22:J$65=$B21)),IF(NOT(ISNUMBER(Data!N19)),0,ABS(($F21*100)-(Data!N19-$I21)*$K21)),ABS(($F21*100)-(Data!N19-$G21)*$K21))</f>
        <v>84.2465753424658</v>
      </c>
      <c r="V21" s="64">
        <f>CHOOSE($E21,SUMPRODUCT((V22:V$65)*($M22:$M$65)*($C22:K$65=$B21)),IF(NOT(ISNUMBER(Data!O19)),0,ABS(($F21*100)-(Data!O19-$I21)*$K21)),ABS(($F21*100)-(Data!O19-$G21)*$K21))</f>
        <v>84.2465753424658</v>
      </c>
      <c r="W21" s="64">
        <f>CHOOSE($E21,SUMPRODUCT((W22:W$65)*($M22:$M$65)*($C22:L$65=$B21)),IF(NOT(ISNUMBER(Data!P19)),0,ABS(($F21*100)-(Data!P19-$I21)*$K21)),ABS(($F21*100)-(Data!P19-$G21)*$K21))</f>
        <v>77.3972602739726</v>
      </c>
      <c r="X21" s="64">
        <f>CHOOSE($E21,SUMPRODUCT((X22:X$65)*($M22:$M$65)*($C22:M$65=$B21)),IF(NOT(ISNUMBER(Data!Q19)),0,ABS(($F21*100)-(Data!Q19-$I21)*$K21)),ABS(($F21*100)-(Data!Q19-$G21)*$K21))</f>
        <v>50.148401826484</v>
      </c>
      <c r="Y21" s="64">
        <f>CHOOSE($E21,SUMPRODUCT((Y22:Y$65)*($M22:$M$65)*($C22:N$65=$B21)),IF(NOT(ISNUMBER(Data!R19)),0,ABS(($F21*100)-(Data!R19-$I21)*$K21)),ABS(($F21*100)-(Data!R19-$G21)*$K21))</f>
        <v>0</v>
      </c>
      <c r="Z21" s="64">
        <f>CHOOSE($E21,SUMPRODUCT((Z22:Z$65)*($M22:$M$65)*($C22:O$65=$B21)),IF(NOT(ISNUMBER(Data!S19)),0,ABS(($F21*100)-(Data!S19-$I21)*$K21)),ABS(($F21*100)-(Data!S19-$G21)*$K21))</f>
        <v>69.0639269406393</v>
      </c>
      <c r="AA21" s="64">
        <f>CHOOSE($E21,SUMPRODUCT((AA22:AA$65)*($M22:$M$65)*($C22:P$65=$B21)),IF(NOT(ISNUMBER(Data!T19)),0,ABS(($F21*100)-(Data!T19-$I21)*$K21)),ABS(($F21*100)-(Data!T19-$G21)*$K21))</f>
        <v>86.5296803652968</v>
      </c>
      <c r="AB21" s="64">
        <f>CHOOSE($E21,SUMPRODUCT((AB22:AB$65)*($M22:$M$65)*($C22:Q$65=$B21)),IF(NOT(ISNUMBER(Data!U19)),0,ABS(($F21*100)-(Data!U19-$I21)*$K21)),ABS(($F21*100)-(Data!U19-$G21)*$K21))</f>
        <v>89.9543378995434</v>
      </c>
      <c r="AC21" s="64">
        <f>CHOOSE($E21,SUMPRODUCT((AC22:AC$65)*($M22:$M$65)*($C22:R$65=$B21)),IF(NOT(ISNUMBER(Data!V19)),0,ABS(($F21*100)-(Data!V19-$I21)*$K21)),ABS(($F21*100)-(Data!V19-$G21)*$K21))</f>
        <v>78.8812785388128</v>
      </c>
      <c r="AD21" s="64">
        <f>CHOOSE($E21,SUMPRODUCT((AD22:AD$65)*($M22:$M$65)*($C22:S$65=$B21)),IF(NOT(ISNUMBER(Data!W19)),0,ABS(($F21*100)-(Data!W19-$I21)*$K21)),ABS(($F21*100)-(Data!W19-$G21)*$K21))</f>
        <v>78.5388127853881</v>
      </c>
      <c r="AE21" s="64">
        <f>CHOOSE($E21,SUMPRODUCT((AE22:AE$65)*($M22:$M$65)*($C22:T$65=$B21)),IF(NOT(ISNUMBER(Data!X19)),0,ABS(($F21*100)-(Data!X19-$I21)*$K21)),ABS(($F21*100)-(Data!X19-$G21)*$K21))</f>
        <v>80.7077625570776</v>
      </c>
      <c r="AF21" s="64">
        <f>CHOOSE($E21,SUMPRODUCT((AF22:AF$65)*($M22:$M$65)*($C22:U$65=$B21)),IF(NOT(ISNUMBER(Data!Y19)),0,ABS(($F21*100)-(Data!Y19-$I21)*$K21)),ABS(($F21*100)-(Data!Y19-$G21)*$K21))</f>
        <v>74.2009132420091</v>
      </c>
      <c r="AG21" s="64">
        <f>CHOOSE($E21,SUMPRODUCT((AG22:AG$65)*($M22:$M$65)*($C22:V$65=$B21)),IF(NOT(ISNUMBER(Data!Z19)),0,ABS(($F21*100)-(Data!Z19-$I21)*$K21)),ABS(($F21*100)-(Data!Z19-$G21)*$K21))</f>
        <v>69.8630136986302</v>
      </c>
      <c r="AH21" s="64">
        <f>CHOOSE($E21,SUMPRODUCT((AH22:AH$65)*($M22:$M$65)*($C22:W$65=$B21)),IF(NOT(ISNUMBER(Data!AA19)),0,ABS(($F21*100)-(Data!AA19-$I21)*$K21)),ABS(($F21*100)-(Data!AA19-$G21)*$K21))</f>
        <v>79.4520547945205</v>
      </c>
      <c r="AI21" s="64">
        <f>CHOOSE($E21,SUMPRODUCT((AI22:AI$65)*($M22:$M$65)*($C22:X$65=$B21)),IF(NOT(ISNUMBER(Data!AB19)),0,ABS(($F21*100)-(Data!AB19-$I21)*$K21)),ABS(($F21*100)-(Data!AB19-$G21)*$K21))</f>
        <v>63.8127853881279</v>
      </c>
      <c r="AJ21" s="64">
        <f>CHOOSE($E21,SUMPRODUCT((AJ22:AJ$65)*($M22:$M$65)*($C22:Y$65=$B21)),IF(NOT(ISNUMBER(Data!AC19)),0,ABS(($F21*100)-(Data!AC19-$I21)*$K21)),ABS(($F21*100)-(Data!AC19-$G21)*$K21))</f>
        <v>58.5616438356164</v>
      </c>
      <c r="AK21" s="64">
        <f>CHOOSE($E21,SUMPRODUCT((AK22:AK$65)*($M22:$M$65)*($C22:Z$65=$B21)),IF(NOT(ISNUMBER(Data!AD19)),0,ABS(($F21*100)-(Data!AD19-$I21)*$K21)),ABS(($F21*100)-(Data!AD19-$G21)*$K21))</f>
        <v>45.4337899543379</v>
      </c>
      <c r="AL21" s="64">
        <f>CHOOSE($E21,SUMPRODUCT((AL22:AL$65)*($M22:$M$65)*($C22:AA$65=$B21)),IF(NOT(ISNUMBER(Data!AE19)),0,ABS(($F21*100)-(Data!AE19-$I21)*$K21)),ABS(($F21*100)-(Data!AE19-$G21)*$K21))</f>
        <v>46.9748858447489</v>
      </c>
      <c r="AM21" s="64">
        <f>CHOOSE($E21,SUMPRODUCT((AM22:AM$65)*($M22:$M$65)*($C22:AB$65=$B21)),IF(NOT(ISNUMBER(Data!AF19)),0,ABS(($F21*100)-(Data!AF19-$I21)*$K21)),ABS(($F21*100)-(Data!AF19-$G21)*$K21))</f>
        <v>33.9041095890411</v>
      </c>
      <c r="AN21" s="64">
        <f>CHOOSE($E21,SUMPRODUCT((AN22:AN$65)*($M22:$M$65)*($C22:AC$65=$B21)),IF(NOT(ISNUMBER(Data!AG19)),0,ABS(($F21*100)-(Data!AG19-$I21)*$K21)),ABS(($F21*100)-(Data!AG19-$G21)*$K21))</f>
        <v>21.4611872146119</v>
      </c>
      <c r="AO21" s="64">
        <f>CHOOSE($E21,SUMPRODUCT((AO22:AO$65)*($M22:$M$65)*($C22:AD$65=$B21)),IF(NOT(ISNUMBER(Data!AH19)),0,ABS(($F21*100)-(Data!AH19-$I21)*$K21)),ABS(($F21*100)-(Data!AH19-$G21)*$K21))</f>
        <v>91.0958904109589</v>
      </c>
      <c r="AP21" s="64">
        <f>CHOOSE($E21,SUMPRODUCT((AP22:AP$65)*($M22:$M$65)*($C22:AE$65=$B21)),IF(NOT(ISNUMBER(Data!AI19)),0,ABS(($F21*100)-(Data!AI19-$I21)*$K21)),ABS(($F21*100)-(Data!AI19-$G21)*$K21))</f>
        <v>89.9885844748858</v>
      </c>
      <c r="AQ21" s="64">
        <f>CHOOSE($E21,SUMPRODUCT((AQ22:AQ$65)*($M22:$M$65)*($C22:AF$65=$B21)),IF(NOT(ISNUMBER(Data!AJ19)),0,ABS(($F21*100)-(Data!AJ19-$I21)*$K21)),ABS(($F21*100)-(Data!AJ19-$G21)*$K21))</f>
        <v>75.1141552511416</v>
      </c>
      <c r="AR21" s="64">
        <f>CHOOSE($E21,SUMPRODUCT((AR22:AR$65)*($M22:$M$65)*($C22:AG$65=$B21)),IF(NOT(ISNUMBER(Data!AK19)),0,ABS(($F21*100)-(Data!AK19-$I21)*$K21)),ABS(($F21*100)-(Data!AK19-$G21)*$K21))</f>
        <v>86.7579908675799</v>
      </c>
      <c r="AS21" s="64">
        <f>CHOOSE($E21,SUMPRODUCT((AS22:AS$65)*($M22:$M$65)*($C22:AH$65=$B21)),IF(NOT(ISNUMBER(Data!AL19)),0,ABS(($F21*100)-(Data!AL19-$I21)*$K21)),ABS(($F21*100)-(Data!AL19-$G21)*$K21))</f>
        <v>71.689497716895</v>
      </c>
      <c r="AT21" s="64">
        <f>CHOOSE($E21,SUMPRODUCT((AT22:AT$65)*($M22:$M$65)*($C22:AI$65=$B21)),IF(NOT(ISNUMBER(Data!AM19)),0,ABS(($F21*100)-(Data!AM19-$I21)*$K21)),ABS(($F21*100)-(Data!AM19-$G21)*$K21))</f>
        <v>21.1872146118721</v>
      </c>
      <c r="AU21" s="64">
        <f>CHOOSE($E21,SUMPRODUCT((AU22:AU$65)*($M22:$M$65)*($C22:AJ$65=$B21)),IF(NOT(ISNUMBER(Data!AN19)),0,ABS(($F21*100)-(Data!AN19-$I21)*$K21)),ABS(($F21*100)-(Data!AN19-$G21)*$K21))</f>
        <v>48.8584474885845</v>
      </c>
      <c r="AV21" s="64">
        <f>CHOOSE($E21,SUMPRODUCT((AV22:AV$65)*($M22:$M$65)*($C22:AK$65=$B21)),IF(NOT(ISNUMBER(Data!AO19)),0,ABS(($F21*100)-(Data!AO19-$I21)*$K21)),ABS(($F21*100)-(Data!AO19-$G21)*$K21))</f>
        <v>76.2557077625571</v>
      </c>
      <c r="AW21" s="64">
        <f>CHOOSE($E21,SUMPRODUCT((AW22:AW$65)*($M22:$M$65)*($C22:AL$65=$B21)),IF(NOT(ISNUMBER(Data!AP19)),0,ABS(($F21*100)-(Data!AP19-$I21)*$K21)),ABS(($F21*100)-(Data!AP19-$G21)*$K21))</f>
        <v>85.3881278538813</v>
      </c>
      <c r="AX21" s="64">
        <f>CHOOSE($E21,SUMPRODUCT((AX22:AX$65)*($M22:$M$65)*($C22:AM$65=$B21)),IF(NOT(ISNUMBER(Data!AQ19)),0,ABS(($F21*100)-(Data!AQ19-$I21)*$K21)),ABS(($F21*100)-(Data!AQ19-$G21)*$K21))</f>
        <v>53.5388127853881</v>
      </c>
      <c r="AY21" s="64">
        <f>CHOOSE($E21,SUMPRODUCT((AY22:AY$65)*($M22:$M$65)*($C22:AN$65=$B21)),IF(NOT(ISNUMBER(Data!AR19)),0,ABS(($F21*100)-(Data!AR19-$I21)*$K21)),ABS(($F21*100)-(Data!AR19-$G21)*$K21))</f>
        <v>92.2374429223744</v>
      </c>
      <c r="AZ21" s="64">
        <f>CHOOSE($E21,SUMPRODUCT((AZ22:AZ$65)*($M22:$M$65)*($C22:AO$65=$B21)),IF(NOT(ISNUMBER(Data!AS19)),0,ABS(($F21*100)-(Data!AS19-$I21)*$K21)),ABS(($F21*100)-(Data!AS19-$G21)*$K21))</f>
        <v>85.5821917808219</v>
      </c>
      <c r="BA21" s="64">
        <f>CHOOSE($E21,SUMPRODUCT((BA22:BA$65)*($M22:$M$65)*($C22:AP$65=$B21)),IF(NOT(ISNUMBER(Data!AT19)),0,ABS(($F21*100)-(Data!AT19-$I21)*$K21)),ABS(($F21*100)-(Data!AT19-$G21)*$K21))</f>
        <v>85.3881278538813</v>
      </c>
      <c r="BB21" s="64">
        <f>CHOOSE($E21,SUMPRODUCT((BB22:BB$65)*($M22:$M$65)*($C22:AQ$65=$B21)),IF(NOT(ISNUMBER(Data!AU19)),0,ABS(($F21*100)-(Data!AU19-$I21)*$K21)),ABS(($F21*100)-(Data!AU19-$G21)*$K21))</f>
        <v>87.6712328767123</v>
      </c>
      <c r="BC21" s="64">
        <f>CHOOSE($E21,SUMPRODUCT((BC22:BC$65)*($M22:$M$65)*($C22:AR$65=$B21)),IF(NOT(ISNUMBER(Data!AV19)),0,ABS(($F21*100)-(Data!AV19-$I21)*$K21)),ABS(($F21*100)-(Data!AV19-$G21)*$K21))</f>
        <v>57.9908675799087</v>
      </c>
      <c r="BD21" s="64">
        <f>CHOOSE($E21,SUMPRODUCT((BD22:BD$65)*($M22:$M$65)*($C22:AS$65=$B21)),IF(NOT(ISNUMBER(Data!AW19)),0,ABS(($F21*100)-(Data!AW19-$I21)*$K21)),ABS(($F21*100)-(Data!AW19-$G21)*$K21))</f>
        <v>63.6986301369863</v>
      </c>
      <c r="BE21" s="64">
        <f>CHOOSE($E21,SUMPRODUCT((BE22:BE$65)*($M22:$M$65)*($C22:AT$65=$B21)),IF(NOT(ISNUMBER(Data!AX19)),0,ABS(($F21*100)-(Data!AX19-$I21)*$K21)),ABS(($F21*100)-(Data!AX19-$G21)*$K21))</f>
        <v>99.0867579908676</v>
      </c>
      <c r="BF21" s="64">
        <f>CHOOSE($E21,SUMPRODUCT((BF22:BF$65)*($M22:$M$65)*($C22:AU$65=$B21)),IF(NOT(ISNUMBER(Data!AY19)),0,ABS(($F21*100)-(Data!AY19-$I21)*$K21)),ABS(($F21*100)-(Data!AY19-$G21)*$K21))</f>
        <v>76.2557077625571</v>
      </c>
      <c r="BG21" s="64">
        <f>CHOOSE($E21,SUMPRODUCT((BG22:BG$65)*($M22:$M$65)*($C22:AV$65=$B21)),IF(NOT(ISNUMBER(Data!AZ19)),0,ABS(($F21*100)-(Data!AZ19-$I21)*$K21)),ABS(($F21*100)-(Data!AZ19-$G21)*$K21))</f>
        <v>79.6803652968037</v>
      </c>
      <c r="BH21" s="64">
        <f>CHOOSE($E21,SUMPRODUCT((BH22:BH$65)*($M22:$M$65)*($C22:AW$65=$B21)),IF(NOT(ISNUMBER(Data!BA19)),0,ABS(($F21*100)-(Data!BA19-$I21)*$K21)),ABS(($F21*100)-(Data!BA19-$G21)*$K21))</f>
        <v>76.7123287671233</v>
      </c>
      <c r="BI21" s="64">
        <f>CHOOSE($E21,SUMPRODUCT((BI22:BI$65)*($M22:$M$65)*($C22:AX$65=$B21)),IF(NOT(ISNUMBER(Data!BB19)),0,ABS(($F21*100)-(Data!BB19-$I21)*$K21)),ABS(($F21*100)-(Data!BB19-$G21)*$K21))</f>
        <v>92.2374429223744</v>
      </c>
      <c r="BJ21" s="64">
        <f>CHOOSE($E21,SUMPRODUCT((BJ22:BJ$65)*($M22:$M$65)*($C22:AY$65=$B21)),IF(NOT(ISNUMBER(Data!BC19)),0,ABS(($F21*100)-(Data!BC19-$I21)*$K21)),ABS(($F21*100)-(Data!BC19-$G21)*$K21))</f>
        <v>44.9771689497717</v>
      </c>
      <c r="BK21" s="64">
        <f>CHOOSE($E21,SUMPRODUCT((BK22:BK$65)*($M22:$M$65)*($C22:AZ$65=$B21)),IF(NOT(ISNUMBER(Data!BD19)),0,ABS(($F21*100)-(Data!BD19-$I21)*$K21)),ABS(($F21*100)-(Data!BD19-$G21)*$K21))</f>
        <v>94.5205479452055</v>
      </c>
      <c r="BM21" s="65"/>
    </row>
    <row r="22" spans="1:65">
      <c r="A22" s="24"/>
      <c r="B22" s="24" t="str">
        <f>tblIndicators!B15</f>
        <v>HELSEC</v>
      </c>
      <c r="C22" s="24" t="str">
        <f>tblIndicators!C15</f>
        <v>TOTAL</v>
      </c>
      <c r="D22" s="52">
        <f>tblIndicators!D15</f>
        <v>1</v>
      </c>
      <c r="E22" s="52">
        <f>tblIndicators!M15</f>
        <v>1</v>
      </c>
      <c r="F22" s="52">
        <f>tblIndicators!N15</f>
        <v>0</v>
      </c>
      <c r="G22" s="52">
        <f>tblIndicators!Q15</f>
        <v>0</v>
      </c>
      <c r="H22" s="52">
        <f>tblIndicators!R15</f>
        <v>0</v>
      </c>
      <c r="I22" s="52" t="str">
        <f>IF($E22=2,MIN(Data!G20:BD20),"")</f>
        <v/>
      </c>
      <c r="J22" s="52" t="str">
        <f>IF($E22=2,MAX(Data!G20:BD20),"")</f>
        <v/>
      </c>
      <c r="K22" s="54" t="str">
        <f t="shared" si="2"/>
        <v/>
      </c>
      <c r="L22" s="55" t="str">
        <f>tblIndicators!Z15</f>
        <v>2) HEALTH SECURITY</v>
      </c>
      <c r="M22" s="56">
        <f>tblIndicators!AC15</f>
        <v>0.25</v>
      </c>
      <c r="N22" s="57">
        <f>IF(uxbWorks!$E$9=1,N30/N23,CHOOSE($E22,SUMPRODUCT((N23:N$65)*($M23:$M$65)*($C23:C$65=$B22)),IF(NOT(ISNUMBER(Data!G20)),0,ABS(($F22*100)-(Data!G20-$I22)*$K22)),ABS(($F22*100)-(Data!G20-$G22)*$K22)))</f>
        <v>75.8254063094849</v>
      </c>
      <c r="O22" s="57">
        <f>IF(uxbWorks!$E$9=1,O30/O23,CHOOSE($E22,SUMPRODUCT((O23:O$65)*($M23:$M$65)*($C23:D$65=$B22)),IF(NOT(ISNUMBER(Data!H20)),0,ABS(($F22*100)-(Data!H20-$I22)*$K22)),ABS(($F22*100)-(Data!H20-$G22)*$K22)))</f>
        <v>50.171851480532</v>
      </c>
      <c r="P22" s="57">
        <f>IF(uxbWorks!$E$9=1,P30/P23,CHOOSE($E22,SUMPRODUCT((P23:P$65)*($M23:$M$65)*($C23:E$65=$B22)),IF(NOT(ISNUMBER(Data!I20)),0,ABS(($F22*100)-(Data!I20-$I22)*$K22)),ABS(($F22*100)-(Data!I20-$G22)*$K22)))</f>
        <v>64.6433986203088</v>
      </c>
      <c r="Q22" s="57">
        <f>IF(uxbWorks!$E$9=1,Q30/Q23,CHOOSE($E22,SUMPRODUCT((Q23:Q$65)*($M23:$M$65)*($C23:F$65=$B22)),IF(NOT(ISNUMBER(Data!J20)),0,ABS(($F22*100)-(Data!J20-$I22)*$K22)),ABS(($F22*100)-(Data!J20-$G22)*$K22)))</f>
        <v>60.367876731884</v>
      </c>
      <c r="R22" s="57">
        <f>IF(uxbWorks!$E$9=1,R30/R23,CHOOSE($E22,SUMPRODUCT((R23:R$65)*($M23:$M$65)*($C23:G$65=$B22)),IF(NOT(ISNUMBER(Data!K20)),0,ABS(($F22*100)-(Data!K20-$I22)*$K22)),ABS(($F22*100)-(Data!K20-$G22)*$K22)))</f>
        <v>57.4793934040433</v>
      </c>
      <c r="S22" s="57">
        <f>IF(uxbWorks!$E$9=1,S30/S23,CHOOSE($E22,SUMPRODUCT((S23:S$65)*($M23:$M$65)*($C23:H$65=$B22)),IF(NOT(ISNUMBER(Data!L20)),0,ABS(($F22*100)-(Data!L20-$I22)*$K22)),ABS(($F22*100)-(Data!L20-$G22)*$K22)))</f>
        <v>66.5729326375583</v>
      </c>
      <c r="T22" s="57">
        <f>IF(uxbWorks!$E$9=1,T30/T23,CHOOSE($E22,SUMPRODUCT((T23:T$65)*($M23:$M$65)*($C23:I$65=$B22)),IF(NOT(ISNUMBER(Data!M20)),0,ABS(($F22*100)-(Data!M20-$I22)*$K22)),ABS(($F22*100)-(Data!M20-$G22)*$K22)))</f>
        <v>73.5328711070703</v>
      </c>
      <c r="U22" s="57">
        <f>IF(uxbWorks!$E$9=1,U30/U23,CHOOSE($E22,SUMPRODUCT((U23:U$65)*($M23:$M$65)*($C23:J$65=$B22)),IF(NOT(ISNUMBER(Data!N20)),0,ABS(($F22*100)-(Data!N20-$I22)*$K22)),ABS(($F22*100)-(Data!N20-$G22)*$K22)))</f>
        <v>70.8035275897924</v>
      </c>
      <c r="V22" s="57">
        <f>IF(uxbWorks!$E$9=1,V30/V23,CHOOSE($E22,SUMPRODUCT((V23:V$65)*($M23:$M$65)*($C23:K$65=$B22)),IF(NOT(ISNUMBER(Data!O20)),0,ABS(($F22*100)-(Data!O20-$I22)*$K22)),ABS(($F22*100)-(Data!O20-$G22)*$K22)))</f>
        <v>72.4030606577819</v>
      </c>
      <c r="W22" s="57">
        <f>IF(uxbWorks!$E$9=1,W30/W23,CHOOSE($E22,SUMPRODUCT((W23:W$65)*($M23:$M$65)*($C23:L$65=$B22)),IF(NOT(ISNUMBER(Data!P20)),0,ABS(($F22*100)-(Data!P20-$I22)*$K22)),ABS(($F22*100)-(Data!P20-$G22)*$K22)))</f>
        <v>69.7130121868204</v>
      </c>
      <c r="X22" s="57">
        <f>IF(uxbWorks!$E$9=1,X30/X23,CHOOSE($E22,SUMPRODUCT((X23:X$65)*($M23:$M$65)*($C23:M$65=$B22)),IF(NOT(ISNUMBER(Data!Q20)),0,ABS(($F22*100)-(Data!Q20-$I22)*$K22)),ABS(($F22*100)-(Data!Q20-$G22)*$K22)))</f>
        <v>61.1560748600963</v>
      </c>
      <c r="Y22" s="57">
        <f>IF(uxbWorks!$E$9=1,Y30/Y23,CHOOSE($E22,SUMPRODUCT((Y23:Y$65)*($M23:$M$65)*($C23:N$65=$B22)),IF(NOT(ISNUMBER(Data!R20)),0,ABS(($F22*100)-(Data!R20-$I22)*$K22)),ABS(($F22*100)-(Data!R20-$G22)*$K22)))</f>
        <v>54.4447147774624</v>
      </c>
      <c r="Z22" s="57">
        <f>IF(uxbWorks!$E$9=1,Z30/Z23,CHOOSE($E22,SUMPRODUCT((Z23:Z$65)*($M23:$M$65)*($C23:O$65=$B22)),IF(NOT(ISNUMBER(Data!S20)),0,ABS(($F22*100)-(Data!S20-$I22)*$K22)),ABS(($F22*100)-(Data!S20-$G22)*$K22)))</f>
        <v>65.0154222073606</v>
      </c>
      <c r="AA22" s="57">
        <f>IF(uxbWorks!$E$9=1,AA30/AA23,CHOOSE($E22,SUMPRODUCT((AA23:AA$65)*($M23:$M$65)*($C23:P$65=$B22)),IF(NOT(ISNUMBER(Data!T20)),0,ABS(($F22*100)-(Data!T20-$I22)*$K22)),ABS(($F22*100)-(Data!T20-$G22)*$K22)))</f>
        <v>78.517689043087</v>
      </c>
      <c r="AB22" s="57">
        <f>IF(uxbWorks!$E$9=1,AB30/AB23,CHOOSE($E22,SUMPRODUCT((AB23:AB$65)*($M23:$M$65)*($C23:Q$65=$B22)),IF(NOT(ISNUMBER(Data!U20)),0,ABS(($F22*100)-(Data!U20-$I22)*$K22)),ABS(($F22*100)-(Data!U20-$G22)*$K22)))</f>
        <v>72.5307864329344</v>
      </c>
      <c r="AC22" s="57">
        <f>IF(uxbWorks!$E$9=1,AC30/AC23,CHOOSE($E22,SUMPRODUCT((AC23:AC$65)*($M23:$M$65)*($C23:R$65=$B22)),IF(NOT(ISNUMBER(Data!V20)),0,ABS(($F22*100)-(Data!V20-$I22)*$K22)),ABS(($F22*100)-(Data!V20-$G22)*$K22)))</f>
        <v>73.3527212877007</v>
      </c>
      <c r="AD22" s="57">
        <f>IF(uxbWorks!$E$9=1,AD30/AD23,CHOOSE($E22,SUMPRODUCT((AD23:AD$65)*($M23:$M$65)*($C23:S$65=$B22)),IF(NOT(ISNUMBER(Data!W20)),0,ABS(($F22*100)-(Data!W20-$I22)*$K22)),ABS(($F22*100)-(Data!W20-$G22)*$K22)))</f>
        <v>74.2694294513696</v>
      </c>
      <c r="AE22" s="57">
        <f>IF(uxbWorks!$E$9=1,AE30/AE23,CHOOSE($E22,SUMPRODUCT((AE23:AE$65)*($M23:$M$65)*($C23:T$65=$B22)),IF(NOT(ISNUMBER(Data!X20)),0,ABS(($F22*100)-(Data!X20-$I22)*$K22)),ABS(($F22*100)-(Data!X20-$G22)*$K22)))</f>
        <v>73.6102232830418</v>
      </c>
      <c r="AF22" s="57">
        <f>IF(uxbWorks!$E$9=1,AF30/AF23,CHOOSE($E22,SUMPRODUCT((AF23:AF$65)*($M23:$M$65)*($C23:U$65=$B22)),IF(NOT(ISNUMBER(Data!Y20)),0,ABS(($F22*100)-(Data!Y20-$I22)*$K22)),ABS(($F22*100)-(Data!Y20-$G22)*$K22)))</f>
        <v>64.1010337124797</v>
      </c>
      <c r="AG22" s="57">
        <f>IF(uxbWorks!$E$9=1,AG30/AG23,CHOOSE($E22,SUMPRODUCT((AG23:AG$65)*($M23:$M$65)*($C23:V$65=$B22)),IF(NOT(ISNUMBER(Data!Z20)),0,ABS(($F22*100)-(Data!Z20-$I22)*$K22)),ABS(($F22*100)-(Data!Z20-$G22)*$K22)))</f>
        <v>63.3074501099162</v>
      </c>
      <c r="AH22" s="57">
        <f>IF(uxbWorks!$E$9=1,AH30/AH23,CHOOSE($E22,SUMPRODUCT((AH23:AH$65)*($M23:$M$65)*($C23:W$65=$B22)),IF(NOT(ISNUMBER(Data!AA20)),0,ABS(($F22*100)-(Data!AA20-$I22)*$K22)),ABS(($F22*100)-(Data!AA20-$G22)*$K22)))</f>
        <v>61.8485571694576</v>
      </c>
      <c r="AI22" s="57">
        <f>IF(uxbWorks!$E$9=1,AI30/AI23,CHOOSE($E22,SUMPRODUCT((AI23:AI$65)*($M23:$M$65)*($C23:X$65=$B22)),IF(NOT(ISNUMBER(Data!AB20)),0,ABS(($F22*100)-(Data!AB20-$I22)*$K22)),ABS(($F22*100)-(Data!AB20-$G22)*$K22)))</f>
        <v>60.0742412404495</v>
      </c>
      <c r="AJ22" s="57">
        <f>IF(uxbWorks!$E$9=1,AJ30/AJ23,CHOOSE($E22,SUMPRODUCT((AJ23:AJ$65)*($M23:$M$65)*($C23:Y$65=$B22)),IF(NOT(ISNUMBER(Data!AC20)),0,ABS(($F22*100)-(Data!AC20-$I22)*$K22)),ABS(($F22*100)-(Data!AC20-$G22)*$K22)))</f>
        <v>60.9349695574407</v>
      </c>
      <c r="AK22" s="57">
        <f>IF(uxbWorks!$E$9=1,AK30/AK23,CHOOSE($E22,SUMPRODUCT((AK23:AK$65)*($M23:$M$65)*($C23:Z$65=$B22)),IF(NOT(ISNUMBER(Data!AD20)),0,ABS(($F22*100)-(Data!AD20-$I22)*$K22)),ABS(($F22*100)-(Data!AD20-$G22)*$K22)))</f>
        <v>45.3052485809868</v>
      </c>
      <c r="AL22" s="57">
        <f>IF(uxbWorks!$E$9=1,AL30/AL23,CHOOSE($E22,SUMPRODUCT((AL23:AL$65)*($M23:$M$65)*($C23:AA$65=$B22)),IF(NOT(ISNUMBER(Data!AE20)),0,ABS(($F22*100)-(Data!AE20-$I22)*$K22)),ABS(($F22*100)-(Data!AE20-$G22)*$K22)))</f>
        <v>53.7639263226883</v>
      </c>
      <c r="AM22" s="57">
        <f>IF(uxbWorks!$E$9=1,AM30/AM23,CHOOSE($E22,SUMPRODUCT((AM23:AM$65)*($M23:$M$65)*($C23:AB$65=$B22)),IF(NOT(ISNUMBER(Data!AF20)),0,ABS(($F22*100)-(Data!AF20-$I22)*$K22)),ABS(($F22*100)-(Data!AF20-$G22)*$K22)))</f>
        <v>53.1115895864078</v>
      </c>
      <c r="AN22" s="57">
        <f>IF(uxbWorks!$E$9=1,AN30/AN23,CHOOSE($E22,SUMPRODUCT((AN23:AN$65)*($M23:$M$65)*($C23:AC$65=$B22)),IF(NOT(ISNUMBER(Data!AG20)),0,ABS(($F22*100)-(Data!AG20-$I22)*$K22)),ABS(($F22*100)-(Data!AG20-$G22)*$K22)))</f>
        <v>48.2174608413585</v>
      </c>
      <c r="AO22" s="57">
        <f>IF(uxbWorks!$E$9=1,AO30/AO23,CHOOSE($E22,SUMPRODUCT((AO23:AO$65)*($M23:$M$65)*($C23:AD$65=$B22)),IF(NOT(ISNUMBER(Data!AH20)),0,ABS(($F22*100)-(Data!AH20-$I22)*$K22)),ABS(($F22*100)-(Data!AH20-$G22)*$K22)))</f>
        <v>76.2599419089611</v>
      </c>
      <c r="AP22" s="57">
        <f>IF(uxbWorks!$E$9=1,AP30/AP23,CHOOSE($E22,SUMPRODUCT((AP23:AP$65)*($M23:$M$65)*($C23:AE$65=$B22)),IF(NOT(ISNUMBER(Data!AI20)),0,ABS(($F22*100)-(Data!AI20-$I22)*$K22)),ABS(($F22*100)-(Data!AI20-$G22)*$K22)))</f>
        <v>76.5533058132314</v>
      </c>
      <c r="AQ22" s="57">
        <f>IF(uxbWorks!$E$9=1,AQ30/AQ23,CHOOSE($E22,SUMPRODUCT((AQ23:AQ$65)*($M23:$M$65)*($C23:AF$65=$B22)),IF(NOT(ISNUMBER(Data!AJ20)),0,ABS(($F22*100)-(Data!AJ20-$I22)*$K22)),ABS(($F22*100)-(Data!AJ20-$G22)*$K22)))</f>
        <v>75.314052845837</v>
      </c>
      <c r="AR22" s="57">
        <f>IF(uxbWorks!$E$9=1,AR30/AR23,CHOOSE($E22,SUMPRODUCT((AR23:AR$65)*($M23:$M$65)*($C23:AG$65=$B22)),IF(NOT(ISNUMBER(Data!AK20)),0,ABS(($F22*100)-(Data!AK20-$I22)*$K22)),ABS(($F22*100)-(Data!AK20-$G22)*$K22)))</f>
        <v>72.8592286323114</v>
      </c>
      <c r="AS22" s="57">
        <f>IF(uxbWorks!$E$9=1,AS30/AS23,CHOOSE($E22,SUMPRODUCT((AS23:AS$65)*($M23:$M$65)*($C23:AH$65=$B22)),IF(NOT(ISNUMBER(Data!AL20)),0,ABS(($F22*100)-(Data!AL20-$I22)*$K22)),ABS(($F22*100)-(Data!AL20-$G22)*$K22)))</f>
        <v>76.0040852026873</v>
      </c>
      <c r="AT22" s="57">
        <f>IF(uxbWorks!$E$9=1,AT30/AT23,CHOOSE($E22,SUMPRODUCT((AT23:AT$65)*($M23:$M$65)*($C23:AI$65=$B22)),IF(NOT(ISNUMBER(Data!AM20)),0,ABS(($F22*100)-(Data!AM20-$I22)*$K22)),ABS(($F22*100)-(Data!AM20-$G22)*$K22)))</f>
        <v>60.4983193195189</v>
      </c>
      <c r="AU22" s="57">
        <f>IF(uxbWorks!$E$9=1,AU30/AU23,CHOOSE($E22,SUMPRODUCT((AU23:AU$65)*($M23:$M$65)*($C23:AJ$65=$B22)),IF(NOT(ISNUMBER(Data!AN20)),0,ABS(($F22*100)-(Data!AN20-$I22)*$K22)),ABS(($F22*100)-(Data!AN20-$G22)*$K22)))</f>
        <v>48.3889762141347</v>
      </c>
      <c r="AV22" s="57">
        <f>IF(uxbWorks!$E$9=1,AV30/AV23,CHOOSE($E22,SUMPRODUCT((AV23:AV$65)*($M23:$M$65)*($C23:AK$65=$B22)),IF(NOT(ISNUMBER(Data!AO20)),0,ABS(($F22*100)-(Data!AO20-$I22)*$K22)),ABS(($F22*100)-(Data!AO20-$G22)*$K22)))</f>
        <v>56.808980704402</v>
      </c>
      <c r="AW22" s="57">
        <f>IF(uxbWorks!$E$9=1,AW30/AW23,CHOOSE($E22,SUMPRODUCT((AW23:AW$65)*($M23:$M$65)*($C23:AL$65=$B22)),IF(NOT(ISNUMBER(Data!AP20)),0,ABS(($F22*100)-(Data!AP20-$I22)*$K22)),ABS(($F22*100)-(Data!AP20-$G22)*$K22)))</f>
        <v>54.1617738149929</v>
      </c>
      <c r="AX22" s="57">
        <f>IF(uxbWorks!$E$9=1,AX30/AX23,CHOOSE($E22,SUMPRODUCT((AX23:AX$65)*($M23:$M$65)*($C23:AM$65=$B22)),IF(NOT(ISNUMBER(Data!AQ20)),0,ABS(($F22*100)-(Data!AQ20-$I22)*$K22)),ABS(($F22*100)-(Data!AQ20-$G22)*$K22)))</f>
        <v>53.3250272685618</v>
      </c>
      <c r="AY22" s="57">
        <f>IF(uxbWorks!$E$9=1,AY30/AY23,CHOOSE($E22,SUMPRODUCT((AY23:AY$65)*($M23:$M$65)*($C23:AN$65=$B22)),IF(NOT(ISNUMBER(Data!AR20)),0,ABS(($F22*100)-(Data!AR20-$I22)*$K22)),ABS(($F22*100)-(Data!AR20-$G22)*$K22)))</f>
        <v>52.0627297297371</v>
      </c>
      <c r="AZ22" s="57">
        <f>IF(uxbWorks!$E$9=1,AZ30/AZ23,CHOOSE($E22,SUMPRODUCT((AZ23:AZ$65)*($M23:$M$65)*($C23:AO$65=$B22)),IF(NOT(ISNUMBER(Data!AS20)),0,ABS(($F22*100)-(Data!AS20-$I22)*$K22)),ABS(($F22*100)-(Data!AS20-$G22)*$K22)))</f>
        <v>77.6266116692025</v>
      </c>
      <c r="BA22" s="57">
        <f>IF(uxbWorks!$E$9=1,BA30/BA23,CHOOSE($E22,SUMPRODUCT((BA23:BA$65)*($M23:$M$65)*($C23:AP$65=$B22)),IF(NOT(ISNUMBER(Data!AT20)),0,ABS(($F22*100)-(Data!AT20-$I22)*$K22)),ABS(($F22*100)-(Data!AT20-$G22)*$K22)))</f>
        <v>76.953537184213</v>
      </c>
      <c r="BB22" s="57">
        <f>IF(uxbWorks!$E$9=1,BB30/BB23,CHOOSE($E22,SUMPRODUCT((BB23:BB$65)*($M23:$M$65)*($C23:AQ$65=$B22)),IF(NOT(ISNUMBER(Data!AU20)),0,ABS(($F22*100)-(Data!AU20-$I22)*$K22)),ABS(($F22*100)-(Data!AU20-$G22)*$K22)))</f>
        <v>77.3817860493764</v>
      </c>
      <c r="BC22" s="57">
        <f>IF(uxbWorks!$E$9=1,BC30/BC23,CHOOSE($E22,SUMPRODUCT((BC23:BC$65)*($M23:$M$65)*($C23:AR$65=$B22)),IF(NOT(ISNUMBER(Data!AV20)),0,ABS(($F22*100)-(Data!AV20-$I22)*$K22)),ABS(($F22*100)-(Data!AV20-$G22)*$K22)))</f>
        <v>67.1299655433865</v>
      </c>
      <c r="BD22" s="57">
        <f>IF(uxbWorks!$E$9=1,BD30/BD23,CHOOSE($E22,SUMPRODUCT((BD23:BD$65)*($M23:$M$65)*($C23:AS$65=$B22)),IF(NOT(ISNUMBER(Data!AW20)),0,ABS(($F22*100)-(Data!AW20-$I22)*$K22)),ABS(($F22*100)-(Data!AW20-$G22)*$K22)))</f>
        <v>66.1600067071947</v>
      </c>
      <c r="BE22" s="57">
        <f>IF(uxbWorks!$E$9=1,BE30/BE23,CHOOSE($E22,SUMPRODUCT((BE23:BE$65)*($M23:$M$65)*($C23:AT$65=$B22)),IF(NOT(ISNUMBER(Data!AX20)),0,ABS(($F22*100)-(Data!AX20-$I22)*$K22)),ABS(($F22*100)-(Data!AX20-$G22)*$K22)))</f>
        <v>74.275440483189</v>
      </c>
      <c r="BF22" s="57">
        <f>IF(uxbWorks!$E$9=1,BF30/BF23,CHOOSE($E22,SUMPRODUCT((BF23:BF$65)*($M23:$M$65)*($C23:AU$65=$B22)),IF(NOT(ISNUMBER(Data!AY20)),0,ABS(($F22*100)-(Data!AY20-$I22)*$K22)),ABS(($F22*100)-(Data!AY20-$G22)*$K22)))</f>
        <v>68.9322387808212</v>
      </c>
      <c r="BG22" s="57">
        <f>IF(uxbWorks!$E$9=1,BG30/BG23,CHOOSE($E22,SUMPRODUCT((BG23:BG$65)*($M23:$M$65)*($C23:AV$65=$B22)),IF(NOT(ISNUMBER(Data!AZ20)),0,ABS(($F22*100)-(Data!AZ20-$I22)*$K22)),ABS(($F22*100)-(Data!AZ20-$G22)*$K22)))</f>
        <v>75.531092548866</v>
      </c>
      <c r="BH22" s="57">
        <f>IF(uxbWorks!$E$9=1,BH30/BH23,CHOOSE($E22,SUMPRODUCT((BH23:BH$65)*($M23:$M$65)*($C23:AW$65=$B22)),IF(NOT(ISNUMBER(Data!BA20)),0,ABS(($F22*100)-(Data!BA20-$I22)*$K22)),ABS(($F22*100)-(Data!BA20-$G22)*$K22)))</f>
        <v>76.3501624336799</v>
      </c>
      <c r="BI22" s="57">
        <f>IF(uxbWorks!$E$9=1,BI30/BI23,CHOOSE($E22,SUMPRODUCT((BI23:BI$65)*($M23:$M$65)*($C23:AX$65=$B22)),IF(NOT(ISNUMBER(Data!BB20)),0,ABS(($F22*100)-(Data!BB20-$I22)*$K22)),ABS(($F22*100)-(Data!BB20-$G22)*$K22)))</f>
        <v>79.0453450634311</v>
      </c>
      <c r="BJ22" s="57">
        <f>IF(uxbWorks!$E$9=1,BJ30/BJ23,CHOOSE($E22,SUMPRODUCT((BJ23:BJ$65)*($M23:$M$65)*($C23:AY$65=$B22)),IF(NOT(ISNUMBER(Data!BC20)),0,ABS(($F22*100)-(Data!BC20-$I22)*$K22)),ABS(($F22*100)-(Data!BC20-$G22)*$K22)))</f>
        <v>50.7657937431227</v>
      </c>
      <c r="BK22" s="57">
        <f>IF(uxbWorks!$E$9=1,BK30/BK23,CHOOSE($E22,SUMPRODUCT((BK23:BK$65)*($M23:$M$65)*($C23:AZ$65=$B22)),IF(NOT(ISNUMBER(Data!BD20)),0,ABS(($F22*100)-(Data!BD20-$I22)*$K22)),ABS(($F22*100)-(Data!BD20-$G22)*$K22)))</f>
        <v>69.7840471876016</v>
      </c>
      <c r="BM22" s="65"/>
    </row>
    <row r="23" s="21" customFormat="1" spans="1:65">
      <c r="A23" s="30"/>
      <c r="B23" s="30" t="str">
        <f>tblIndicators!B16</f>
        <v>HELSEC_IP</v>
      </c>
      <c r="C23" s="30" t="str">
        <f>tblIndicators!C16</f>
        <v>HELSEC</v>
      </c>
      <c r="D23" s="53">
        <f>tblIndicators!D16</f>
        <v>2</v>
      </c>
      <c r="E23" s="53">
        <f>tblIndicators!M16</f>
        <v>1</v>
      </c>
      <c r="F23" s="53">
        <f>tblIndicators!N16</f>
        <v>0</v>
      </c>
      <c r="G23" s="53">
        <f>tblIndicators!Q16</f>
        <v>0</v>
      </c>
      <c r="H23" s="53">
        <f>tblIndicators!R16</f>
        <v>0</v>
      </c>
      <c r="I23" s="52" t="str">
        <f>IF($E23=2,MIN(Data!G21:BD21),"")</f>
        <v/>
      </c>
      <c r="J23" s="52" t="str">
        <f>IF($E23=2,MAX(Data!G21:BD21),"")</f>
        <v/>
      </c>
      <c r="K23" s="58" t="str">
        <f t="shared" si="2"/>
        <v/>
      </c>
      <c r="L23" s="59" t="str">
        <f>tblIndicators!Z16</f>
        <v>2.1) Health Security (Inputs)</v>
      </c>
      <c r="M23" s="60">
        <f>tblIndicators!AC16</f>
        <v>0.5</v>
      </c>
      <c r="N23" s="61">
        <f>CHOOSE($E23,SUMPRODUCT((N24:N$65)*($M24:$M$65)*($C24:C$65=$B23)),IF(NOT(ISNUMBER(Data!G21)),0,ABS(($F23*100)-(Data!G21-$I23)*$K23)),ABS(($F23*100)-(Data!G21-$G23)*$K23))</f>
        <v>70.727969348659</v>
      </c>
      <c r="O23" s="61">
        <f>CHOOSE($E23,SUMPRODUCT((O24:O$65)*($M24:$M$65)*($C24:D$65=$B23)),IF(NOT(ISNUMBER(Data!H21)),0,ABS(($F23*100)-(Data!H21-$I23)*$K23)),ABS(($F23*100)-(Data!H21-$G23)*$K23))</f>
        <v>43.9882401052813</v>
      </c>
      <c r="P23" s="61">
        <f>CHOOSE($E23,SUMPRODUCT((P24:P$65)*($M24:$M$65)*($C24:E$65=$B23)),IF(NOT(ISNUMBER(Data!I21)),0,ABS(($F23*100)-(Data!I21-$I23)*$K23)),ABS(($F23*100)-(Data!I21-$G23)*$K23))</f>
        <v>60.4114384829892</v>
      </c>
      <c r="Q23" s="61">
        <f>CHOOSE($E23,SUMPRODUCT((Q24:Q$65)*($M24:$M$65)*($C24:F$65=$B23)),IF(NOT(ISNUMBER(Data!J21)),0,ABS(($F23*100)-(Data!J21-$I23)*$K23)),ABS(($F23*100)-(Data!J21-$G23)*$K23))</f>
        <v>52.1588833460263</v>
      </c>
      <c r="R23" s="61">
        <f>CHOOSE($E23,SUMPRODUCT((R24:R$65)*($M24:$M$65)*($C24:G$65=$B23)),IF(NOT(ISNUMBER(Data!K21)),0,ABS(($F23*100)-(Data!K21-$I23)*$K23)),ABS(($F23*100)-(Data!K21-$G23)*$K23))</f>
        <v>56.240075850477</v>
      </c>
      <c r="S23" s="61">
        <f>CHOOSE($E23,SUMPRODUCT((S24:S$65)*($M24:$M$65)*($C24:H$65=$B23)),IF(NOT(ISNUMBER(Data!L21)),0,ABS(($F23*100)-(Data!L21-$I23)*$K23)),ABS(($F23*100)-(Data!L21-$G23)*$K23))</f>
        <v>64.4102513858695</v>
      </c>
      <c r="T23" s="61">
        <f>CHOOSE($E23,SUMPRODUCT((T24:T$65)*($M24:$M$65)*($C24:I$65=$B23)),IF(NOT(ISNUMBER(Data!M21)),0,ABS(($F23*100)-(Data!M21-$I23)*$K23)),ABS(($F23*100)-(Data!M21-$G23)*$K23))</f>
        <v>65.2232542572054</v>
      </c>
      <c r="U23" s="61">
        <f>CHOOSE($E23,SUMPRODUCT((U24:U$65)*($M24:$M$65)*($C24:J$65=$B23)),IF(NOT(ISNUMBER(Data!N21)),0,ABS(($F23*100)-(Data!N21-$I23)*$K23)),ABS(($F23*100)-(Data!N21-$G23)*$K23))</f>
        <v>60.3188884667432</v>
      </c>
      <c r="V23" s="61">
        <f>CHOOSE($E23,SUMPRODUCT((V24:V$65)*($M24:$M$65)*($C24:K$65=$B23)),IF(NOT(ISNUMBER(Data!O21)),0,ABS(($F23*100)-(Data!O21-$I23)*$K23)),ABS(($F23*100)-(Data!O21-$G23)*$K23))</f>
        <v>70.9146443279996</v>
      </c>
      <c r="W23" s="61">
        <f>CHOOSE($E23,SUMPRODUCT((W24:W$65)*($M24:$M$65)*($C24:L$65=$B23)),IF(NOT(ISNUMBER(Data!P21)),0,ABS(($F23*100)-(Data!P21-$I23)*$K23)),ABS(($F23*100)-(Data!P21-$G23)*$K23))</f>
        <v>63.9304572938293</v>
      </c>
      <c r="X23" s="61">
        <f>CHOOSE($E23,SUMPRODUCT((X24:X$65)*($M24:$M$65)*($C24:M$65=$B23)),IF(NOT(ISNUMBER(Data!Q21)),0,ABS(($F23*100)-(Data!Q21-$I23)*$K23)),ABS(($F23*100)-(Data!Q21-$G23)*$K23))</f>
        <v>53.2063089765421</v>
      </c>
      <c r="Y23" s="61">
        <f>CHOOSE($E23,SUMPRODUCT((Y24:Y$65)*($M24:$M$65)*($C24:N$65=$B23)),IF(NOT(ISNUMBER(Data!R21)),0,ABS(($F23*100)-(Data!R21-$I23)*$K23)),ABS(($F23*100)-(Data!R21-$G23)*$K23))</f>
        <v>42.9117581025703</v>
      </c>
      <c r="Z23" s="61">
        <f>CHOOSE($E23,SUMPRODUCT((Z24:Z$65)*($M24:$M$65)*($C24:O$65=$B23)),IF(NOT(ISNUMBER(Data!S21)),0,ABS(($F23*100)-(Data!S21-$I23)*$K23)),ABS(($F23*100)-(Data!S21-$G23)*$K23))</f>
        <v>50.0799089585417</v>
      </c>
      <c r="AA23" s="61">
        <f>CHOOSE($E23,SUMPRODUCT((AA24:AA$65)*($M24:$M$65)*($C24:P$65=$B23)),IF(NOT(ISNUMBER(Data!T21)),0,ABS(($F23*100)-(Data!T21-$I23)*$K23)),ABS(($F23*100)-(Data!T21-$G23)*$K23))</f>
        <v>67.7684331606381</v>
      </c>
      <c r="AB23" s="61">
        <f>CHOOSE($E23,SUMPRODUCT((AB24:AB$65)*($M24:$M$65)*($C24:Q$65=$B23)),IF(NOT(ISNUMBER(Data!U21)),0,ABS(($F23*100)-(Data!U21-$I23)*$K23)),ABS(($F23*100)-(Data!U21-$G23)*$K23))</f>
        <v>73.6989302256888</v>
      </c>
      <c r="AC23" s="61">
        <f>CHOOSE($E23,SUMPRODUCT((AC24:AC$65)*($M24:$M$65)*($C24:R$65=$B23)),IF(NOT(ISNUMBER(Data!V21)),0,ABS(($F23*100)-(Data!V21-$I23)*$K23)),ABS(($F23*100)-(Data!V21-$G23)*$K23))</f>
        <v>64.3538451916261</v>
      </c>
      <c r="AD23" s="61">
        <f>CHOOSE($E23,SUMPRODUCT((AD24:AD$65)*($M24:$M$65)*($C24:S$65=$B23)),IF(NOT(ISNUMBER(Data!W21)),0,ABS(($F23*100)-(Data!W21-$I23)*$K23)),ABS(($F23*100)-(Data!W21-$G23)*$K23))</f>
        <v>66.4685500163756</v>
      </c>
      <c r="AE23" s="61">
        <f>CHOOSE($E23,SUMPRODUCT((AE24:AE$65)*($M24:$M$65)*($C24:T$65=$B23)),IF(NOT(ISNUMBER(Data!X21)),0,ABS(($F23*100)-(Data!X21-$I23)*$K23)),ABS(($F23*100)-(Data!X21-$G23)*$K23))</f>
        <v>65.5147377848354</v>
      </c>
      <c r="AF23" s="61">
        <f>CHOOSE($E23,SUMPRODUCT((AF24:AF$65)*($M24:$M$65)*($C24:U$65=$B23)),IF(NOT(ISNUMBER(Data!Y21)),0,ABS(($F23*100)-(Data!Y21-$I23)*$K23)),ABS(($F23*100)-(Data!Y21-$G23)*$K23))</f>
        <v>55.3799307850615</v>
      </c>
      <c r="AG23" s="61">
        <f>CHOOSE($E23,SUMPRODUCT((AG24:AG$65)*($M24:$M$65)*($C24:V$65=$B23)),IF(NOT(ISNUMBER(Data!Z21)),0,ABS(($F23*100)-(Data!Z21-$I23)*$K23)),ABS(($F23*100)-(Data!Z21-$G23)*$K23))</f>
        <v>54.5122878279177</v>
      </c>
      <c r="AH23" s="61">
        <f>CHOOSE($E23,SUMPRODUCT((AH24:AH$65)*($M24:$M$65)*($C24:W$65=$B23)),IF(NOT(ISNUMBER(Data!AA21)),0,ABS(($F23*100)-(Data!AA21-$I23)*$K23)),ABS(($F23*100)-(Data!AA21-$G23)*$K23))</f>
        <v>55.8069032089693</v>
      </c>
      <c r="AI23" s="61">
        <f>CHOOSE($E23,SUMPRODUCT((AI24:AI$65)*($M24:$M$65)*($C24:X$65=$B23)),IF(NOT(ISNUMBER(Data!AB21)),0,ABS(($F23*100)-(Data!AB21-$I23)*$K23)),ABS(($F23*100)-(Data!AB21-$G23)*$K23))</f>
        <v>55.5835585748962</v>
      </c>
      <c r="AJ23" s="61">
        <f>CHOOSE($E23,SUMPRODUCT((AJ24:AJ$65)*($M24:$M$65)*($C24:Y$65=$B23)),IF(NOT(ISNUMBER(Data!AC21)),0,ABS(($F23*100)-(Data!AC21-$I23)*$K23)),ABS(($F23*100)-(Data!AC21-$G23)*$K23))</f>
        <v>53.2900940025257</v>
      </c>
      <c r="AK23" s="61">
        <f>CHOOSE($E23,SUMPRODUCT((AK24:AK$65)*($M24:$M$65)*($C24:Z$65=$B23)),IF(NOT(ISNUMBER(Data!AD21)),0,ABS(($F23*100)-(Data!AD21-$I23)*$K23)),ABS(($F23*100)-(Data!AD21-$G23)*$K23))</f>
        <v>38.8072705858742</v>
      </c>
      <c r="AL23" s="61">
        <f>CHOOSE($E23,SUMPRODUCT((AL24:AL$65)*($M24:$M$65)*($C24:AA$65=$B23)),IF(NOT(ISNUMBER(Data!AE21)),0,ABS(($F23*100)-(Data!AE21-$I23)*$K23)),ABS(($F23*100)-(Data!AE21-$G23)*$K23))</f>
        <v>51.9438999288789</v>
      </c>
      <c r="AM23" s="61">
        <f>CHOOSE($E23,SUMPRODUCT((AM24:AM$65)*($M24:$M$65)*($C24:AB$65=$B23)),IF(NOT(ISNUMBER(Data!AF21)),0,ABS(($F23*100)-(Data!AF21-$I23)*$K23)),ABS(($F23*100)-(Data!AF21-$G23)*$K23))</f>
        <v>41.4073238395154</v>
      </c>
      <c r="AN23" s="61">
        <f>CHOOSE($E23,SUMPRODUCT((AN24:AN$65)*($M24:$M$65)*($C24:AC$65=$B23)),IF(NOT(ISNUMBER(Data!AG21)),0,ABS(($F23*100)-(Data!AG21-$I23)*$K23)),ABS(($F23*100)-(Data!AG21-$G23)*$K23))</f>
        <v>44.321013793192</v>
      </c>
      <c r="AO23" s="61">
        <f>CHOOSE($E23,SUMPRODUCT((AO24:AO$65)*($M24:$M$65)*($C24:AD$65=$B23)),IF(NOT(ISNUMBER(Data!AH21)),0,ABS(($F23*100)-(Data!AH21-$I23)*$K23)),ABS(($F23*100)-(Data!AH21-$G23)*$K23))</f>
        <v>74.3550800406698</v>
      </c>
      <c r="AP23" s="61">
        <f>CHOOSE($E23,SUMPRODUCT((AP24:AP$65)*($M24:$M$65)*($C24:AE$65=$B23)),IF(NOT(ISNUMBER(Data!AI21)),0,ABS(($F23*100)-(Data!AI21-$I23)*$K23)),ABS(($F23*100)-(Data!AI21-$G23)*$K23))</f>
        <v>77.5667531239186</v>
      </c>
      <c r="AQ23" s="61">
        <f>CHOOSE($E23,SUMPRODUCT((AQ24:AQ$65)*($M24:$M$65)*($C24:AF$65=$B23)),IF(NOT(ISNUMBER(Data!AJ21)),0,ABS(($F23*100)-(Data!AJ21-$I23)*$K23)),ABS(($F23*100)-(Data!AJ21-$G23)*$K23))</f>
        <v>66.6513717148542</v>
      </c>
      <c r="AR23" s="61">
        <f>CHOOSE($E23,SUMPRODUCT((AR24:AR$65)*($M24:$M$65)*($C24:AG$65=$B23)),IF(NOT(ISNUMBER(Data!AK21)),0,ABS(($F23*100)-(Data!AK21-$I23)*$K23)),ABS(($F23*100)-(Data!AK21-$G23)*$K23))</f>
        <v>65.448008068458</v>
      </c>
      <c r="AS23" s="61">
        <f>CHOOSE($E23,SUMPRODUCT((AS24:AS$65)*($M24:$M$65)*($C24:AH$65=$B23)),IF(NOT(ISNUMBER(Data!AL21)),0,ABS(($F23*100)-(Data!AL21-$I23)*$K23)),ABS(($F23*100)-(Data!AL21-$G23)*$K23))</f>
        <v>81.068368576343</v>
      </c>
      <c r="AT23" s="61">
        <f>CHOOSE($E23,SUMPRODUCT((AT24:AT$65)*($M24:$M$65)*($C24:AI$65=$B23)),IF(NOT(ISNUMBER(Data!AM21)),0,ABS(($F23*100)-(Data!AM21-$I23)*$K23)),ABS(($F23*100)-(Data!AM21-$G23)*$K23))</f>
        <v>54.7589439432099</v>
      </c>
      <c r="AU23" s="61">
        <f>CHOOSE($E23,SUMPRODUCT((AU24:AU$65)*($M24:$M$65)*($C24:AJ$65=$B23)),IF(NOT(ISNUMBER(Data!AN21)),0,ABS(($F23*100)-(Data!AN21-$I23)*$K23)),ABS(($F23*100)-(Data!AN21-$G23)*$K23))</f>
        <v>36.6282109247439</v>
      </c>
      <c r="AV23" s="61">
        <f>CHOOSE($E23,SUMPRODUCT((AV24:AV$65)*($M24:$M$65)*($C24:AK$65=$B23)),IF(NOT(ISNUMBER(Data!AO21)),0,ABS(($F23*100)-(Data!AO21-$I23)*$K23)),ABS(($F23*100)-(Data!AO21-$G23)*$K23))</f>
        <v>46.2417362200021</v>
      </c>
      <c r="AW23" s="61">
        <f>CHOOSE($E23,SUMPRODUCT((AW24:AW$65)*($M24:$M$65)*($C24:AL$65=$B23)),IF(NOT(ISNUMBER(Data!AP21)),0,ABS(($F23*100)-(Data!AP21-$I23)*$K23)),ABS(($F23*100)-(Data!AP21-$G23)*$K23))</f>
        <v>52.1291906369878</v>
      </c>
      <c r="AX23" s="61">
        <f>CHOOSE($E23,SUMPRODUCT((AX24:AX$65)*($M24:$M$65)*($C24:AM$65=$B23)),IF(NOT(ISNUMBER(Data!AQ21)),0,ABS(($F23*100)-(Data!AQ21-$I23)*$K23)),ABS(($F23*100)-(Data!AQ21-$G23)*$K23))</f>
        <v>41.2353336770111</v>
      </c>
      <c r="AY23" s="61">
        <f>CHOOSE($E23,SUMPRODUCT((AY24:AY$65)*($M24:$M$65)*($C24:AN$65=$B23)),IF(NOT(ISNUMBER(Data!AR21)),0,ABS(($F23*100)-(Data!AR21-$I23)*$K23)),ABS(($F23*100)-(Data!AR21-$G23)*$K23))</f>
        <v>54.3791620538691</v>
      </c>
      <c r="AZ23" s="61">
        <f>CHOOSE($E23,SUMPRODUCT((AZ24:AZ$65)*($M24:$M$65)*($C24:AO$65=$B23)),IF(NOT(ISNUMBER(Data!AS21)),0,ABS(($F23*100)-(Data!AS21-$I23)*$K23)),ABS(($F23*100)-(Data!AS21-$G23)*$K23))</f>
        <v>77.129633490389</v>
      </c>
      <c r="BA23" s="61">
        <f>CHOOSE($E23,SUMPRODUCT((BA24:BA$65)*($M24:$M$65)*($C24:AP$65=$B23)),IF(NOT(ISNUMBER(Data!AT21)),0,ABS(($F23*100)-(Data!AT21-$I23)*$K23)),ABS(($F23*100)-(Data!AT21-$G23)*$K23))</f>
        <v>73.4644055208622</v>
      </c>
      <c r="BB23" s="61">
        <f>CHOOSE($E23,SUMPRODUCT((BB24:BB$65)*($M24:$M$65)*($C24:AQ$65=$B23)),IF(NOT(ISNUMBER(Data!AU21)),0,ABS(($F23*100)-(Data!AU21-$I23)*$K23)),ABS(($F23*100)-(Data!AU21-$G23)*$K23))</f>
        <v>70.4562785035411</v>
      </c>
      <c r="BC23" s="61">
        <f>CHOOSE($E23,SUMPRODUCT((BC24:BC$65)*($M24:$M$65)*($C24:AR$65=$B23)),IF(NOT(ISNUMBER(Data!AV21)),0,ABS(($F23*100)-(Data!AV21-$I23)*$K23)),ABS(($F23*100)-(Data!AV21-$G23)*$K23))</f>
        <v>56.7982082739411</v>
      </c>
      <c r="BD23" s="61">
        <f>CHOOSE($E23,SUMPRODUCT((BD24:BD$65)*($M24:$M$65)*($C24:AS$65=$B23)),IF(NOT(ISNUMBER(Data!AW21)),0,ABS(($F23*100)-(Data!AW21-$I23)*$K23)),ABS(($F23*100)-(Data!AW21-$G23)*$K23))</f>
        <v>55.132544351783</v>
      </c>
      <c r="BE23" s="61">
        <f>CHOOSE($E23,SUMPRODUCT((BE24:BE$65)*($M24:$M$65)*($C24:AT$65=$B23)),IF(NOT(ISNUMBER(Data!AX21)),0,ABS(($F23*100)-(Data!AX21-$I23)*$K23)),ABS(($F23*100)-(Data!AX21-$G23)*$K23))</f>
        <v>70.5097672461013</v>
      </c>
      <c r="BF23" s="61">
        <f>CHOOSE($E23,SUMPRODUCT((BF24:BF$65)*($M24:$M$65)*($C24:AU$65=$B23)),IF(NOT(ISNUMBER(Data!AY21)),0,ABS(($F23*100)-(Data!AY21-$I23)*$K23)),ABS(($F23*100)-(Data!AY21-$G23)*$K23))</f>
        <v>66.0339912002548</v>
      </c>
      <c r="BG23" s="61">
        <f>CHOOSE($E23,SUMPRODUCT((BG24:BG$65)*($M24:$M$65)*($C24:AV$65=$B23)),IF(NOT(ISNUMBER(Data!AZ21)),0,ABS(($F23*100)-(Data!AZ21-$I23)*$K23)),ABS(($F23*100)-(Data!AZ21-$G23)*$K23))</f>
        <v>64.8752110903948</v>
      </c>
      <c r="BH23" s="61">
        <f>CHOOSE($E23,SUMPRODUCT((BH24:BH$65)*($M24:$M$65)*($C24:AW$65=$B23)),IF(NOT(ISNUMBER(Data!BA21)),0,ABS(($F23*100)-(Data!BA21-$I23)*$K23)),ABS(($F23*100)-(Data!BA21-$G23)*$K23))</f>
        <v>67.4868026554638</v>
      </c>
      <c r="BI23" s="61">
        <f>CHOOSE($E23,SUMPRODUCT((BI24:BI$65)*($M24:$M$65)*($C24:AX$65=$B23)),IF(NOT(ISNUMBER(Data!BB21)),0,ABS(($F23*100)-(Data!BB21-$I23)*$K23)),ABS(($F23*100)-(Data!BB21-$G23)*$K23))</f>
        <v>71.2724032443208</v>
      </c>
      <c r="BJ23" s="61">
        <f>CHOOSE($E23,SUMPRODUCT((BJ24:BJ$65)*($M24:$M$65)*($C24:AY$65=$B23)),IF(NOT(ISNUMBER(Data!BC21)),0,ABS(($F23*100)-(Data!BC21-$I23)*$K23)),ABS(($F23*100)-(Data!BC21-$G23)*$K23))</f>
        <v>35.722454429351</v>
      </c>
      <c r="BK23" s="61">
        <f>CHOOSE($E23,SUMPRODUCT((BK24:BK$65)*($M24:$M$65)*($C24:AZ$65=$B23)),IF(NOT(ISNUMBER(Data!BD21)),0,ABS(($F23*100)-(Data!BD21-$I23)*$K23)),ABS(($F23*100)-(Data!BD21-$G23)*$K23))</f>
        <v>59.1172196127268</v>
      </c>
      <c r="BM23" s="65"/>
    </row>
    <row r="24" s="22" customFormat="1" spans="1:65">
      <c r="A24" s="24"/>
      <c r="B24" s="24" t="str">
        <f>tblIndicators!B17</f>
        <v>HELSEC_IP_01</v>
      </c>
      <c r="C24" s="24" t="str">
        <f>tblIndicators!C17</f>
        <v>HELSEC_IP</v>
      </c>
      <c r="D24" s="52">
        <f>tblIndicators!D17</f>
        <v>3</v>
      </c>
      <c r="E24" s="52">
        <f>tblIndicators!M17</f>
        <v>2</v>
      </c>
      <c r="F24" s="52">
        <f>tblIndicators!N17</f>
        <v>0</v>
      </c>
      <c r="G24" s="52">
        <f>tblIndicators!Q17</f>
        <v>0</v>
      </c>
      <c r="H24" s="52">
        <f>tblIndicators!R17</f>
        <v>0</v>
      </c>
      <c r="I24" s="52">
        <f>IF($E24=2,MIN(Data!G22:BD22),"")</f>
        <v>22</v>
      </c>
      <c r="J24" s="52">
        <f>IF($E24=2,MAX(Data!G22:BD22),"")</f>
        <v>100</v>
      </c>
      <c r="K24" s="54">
        <f t="shared" si="2"/>
        <v>1.28205128205128</v>
      </c>
      <c r="L24" s="62" t="str">
        <f>tblIndicators!Z17</f>
        <v>2.1.1) Environmental policies</v>
      </c>
      <c r="M24" s="63">
        <f>tblIndicators!AC17</f>
        <v>0.166666666666667</v>
      </c>
      <c r="N24" s="64">
        <f>CHOOSE($E24,SUMPRODUCT((N25:N$65)*($M25:$M$65)*($C25:C$65=$B24)),IF(NOT(ISNUMBER(Data!G22)),0,ABS(($F24*100)-(Data!G22-$I24)*$K24)),ABS(($F24*100)-(Data!G22-$G24)*$K24))</f>
        <v>100</v>
      </c>
      <c r="O24" s="64">
        <f>CHOOSE($E24,SUMPRODUCT((O25:O$65)*($M25:$M$65)*($C25:D$65=$B24)),IF(NOT(ISNUMBER(Data!H22)),0,ABS(($F24*100)-(Data!H22-$I24)*$K24)),ABS(($F24*100)-(Data!H22-$G24)*$K24))</f>
        <v>60.7692307692308</v>
      </c>
      <c r="P24" s="64">
        <f>CHOOSE($E24,SUMPRODUCT((P25:P$65)*($M25:$M$65)*($C25:E$65=$B24)),IF(NOT(ISNUMBER(Data!I22)),0,ABS(($F24*100)-(Data!I22-$I24)*$K24)),ABS(($F24*100)-(Data!I22-$G24)*$K24))</f>
        <v>67.5641025641026</v>
      </c>
      <c r="Q24" s="64">
        <f>CHOOSE($E24,SUMPRODUCT((Q25:Q$65)*($M25:$M$65)*($C25:F$65=$B24)),IF(NOT(ISNUMBER(Data!J22)),0,ABS(($F24*100)-(Data!J22-$I24)*$K24)),ABS(($F24*100)-(Data!J22-$G24)*$K24))</f>
        <v>57.3076923076923</v>
      </c>
      <c r="R24" s="64">
        <f>CHOOSE($E24,SUMPRODUCT((R25:R$65)*($M25:$M$65)*($C25:G$65=$B24)),IF(NOT(ISNUMBER(Data!K22)),0,ABS(($F24*100)-(Data!K22-$I24)*$K24)),ABS(($F24*100)-(Data!K22-$G24)*$K24))</f>
        <v>91.1538461538462</v>
      </c>
      <c r="S24" s="64">
        <f>CHOOSE($E24,SUMPRODUCT((S25:S$65)*($M25:$M$65)*($C25:H$65=$B24)),IF(NOT(ISNUMBER(Data!L22)),0,ABS(($F24*100)-(Data!L22-$I24)*$K24)),ABS(($F24*100)-(Data!L22-$G24)*$K24))</f>
        <v>92.8205128205128</v>
      </c>
      <c r="T24" s="64">
        <f>CHOOSE($E24,SUMPRODUCT((T25:T$65)*($M25:$M$65)*($C25:I$65=$B24)),IF(NOT(ISNUMBER(Data!M22)),0,ABS(($F24*100)-(Data!M22-$I24)*$K24)),ABS(($F24*100)-(Data!M22-$G24)*$K24))</f>
        <v>91.4102564102564</v>
      </c>
      <c r="U24" s="64">
        <f>CHOOSE($E24,SUMPRODUCT((U25:U$65)*($M25:$M$65)*($C25:J$65=$B24)),IF(NOT(ISNUMBER(Data!N22)),0,ABS(($F24*100)-(Data!N22-$I24)*$K24)),ABS(($F24*100)-(Data!N22-$G24)*$K24))</f>
        <v>48.7179487179487</v>
      </c>
      <c r="V24" s="64">
        <f>CHOOSE($E24,SUMPRODUCT((V25:V$65)*($M25:$M$65)*($C25:K$65=$B24)),IF(NOT(ISNUMBER(Data!O22)),0,ABS(($F24*100)-(Data!O22-$I24)*$K24)),ABS(($F24*100)-(Data!O22-$G24)*$K24))</f>
        <v>67.1794871794872</v>
      </c>
      <c r="W24" s="64">
        <f>CHOOSE($E24,SUMPRODUCT((W25:W$65)*($M25:$M$65)*($C25:L$65=$B24)),IF(NOT(ISNUMBER(Data!P22)),0,ABS(($F24*100)-(Data!P22-$I24)*$K24)),ABS(($F24*100)-(Data!P22-$G24)*$K24))</f>
        <v>84.3589743589744</v>
      </c>
      <c r="X24" s="64">
        <f>CHOOSE($E24,SUMPRODUCT((X25:X$65)*($M25:$M$65)*($C25:M$65=$B24)),IF(NOT(ISNUMBER(Data!Q22)),0,ABS(($F24*100)-(Data!Q22-$I24)*$K24)),ABS(($F24*100)-(Data!Q22-$G24)*$K24))</f>
        <v>92.1794871794872</v>
      </c>
      <c r="Y24" s="64">
        <f>CHOOSE($E24,SUMPRODUCT((Y25:Y$65)*($M25:$M$65)*($C25:N$65=$B24)),IF(NOT(ISNUMBER(Data!R22)),0,ABS(($F24*100)-(Data!R22-$I24)*$K24)),ABS(($F24*100)-(Data!R22-$G24)*$K24))</f>
        <v>50.6410256410256</v>
      </c>
      <c r="Z24" s="64">
        <f>CHOOSE($E24,SUMPRODUCT((Z25:Z$65)*($M25:$M$65)*($C25:O$65=$B24)),IF(NOT(ISNUMBER(Data!S22)),0,ABS(($F24*100)-(Data!S22-$I24)*$K24)),ABS(($F24*100)-(Data!S22-$G24)*$K24))</f>
        <v>60.7692307692308</v>
      </c>
      <c r="AA24" s="64">
        <f>CHOOSE($E24,SUMPRODUCT((AA25:AA$65)*($M25:$M$65)*($C25:P$65=$B24)),IF(NOT(ISNUMBER(Data!T22)),0,ABS(($F24*100)-(Data!T22-$I24)*$K24)),ABS(($F24*100)-(Data!T22-$G24)*$K24))</f>
        <v>100</v>
      </c>
      <c r="AB24" s="64">
        <f>CHOOSE($E24,SUMPRODUCT((AB25:AB$65)*($M25:$M$65)*($C25:Q$65=$B24)),IF(NOT(ISNUMBER(Data!U22)),0,ABS(($F24*100)-(Data!U22-$I24)*$K24)),ABS(($F24*100)-(Data!U22-$G24)*$K24))</f>
        <v>100</v>
      </c>
      <c r="AC24" s="64">
        <f>CHOOSE($E24,SUMPRODUCT((AC25:AC$65)*($M25:$M$65)*($C25:R$65=$B24)),IF(NOT(ISNUMBER(Data!V22)),0,ABS(($F24*100)-(Data!V22-$I24)*$K24)),ABS(($F24*100)-(Data!V22-$G24)*$K24))</f>
        <v>57.6923076923077</v>
      </c>
      <c r="AD24" s="64">
        <f>CHOOSE($E24,SUMPRODUCT((AD25:AD$65)*($M25:$M$65)*($C25:S$65=$B24)),IF(NOT(ISNUMBER(Data!W22)),0,ABS(($F24*100)-(Data!W22-$I24)*$K24)),ABS(($F24*100)-(Data!W22-$G24)*$K24))</f>
        <v>71.7948717948718</v>
      </c>
      <c r="AE24" s="64">
        <f>CHOOSE($E24,SUMPRODUCT((AE25:AE$65)*($M25:$M$65)*($C25:T$65=$B24)),IF(NOT(ISNUMBER(Data!X22)),0,ABS(($F24*100)-(Data!X22-$I24)*$K24)),ABS(($F24*100)-(Data!X22-$G24)*$K24))</f>
        <v>97.8205128205128</v>
      </c>
      <c r="AF24" s="64">
        <f>CHOOSE($E24,SUMPRODUCT((AF25:AF$65)*($M25:$M$65)*($C25:U$65=$B24)),IF(NOT(ISNUMBER(Data!Y22)),0,ABS(($F24*100)-(Data!Y22-$I24)*$K24)),ABS(($F24*100)-(Data!Y22-$G24)*$K24))</f>
        <v>73.5897435897436</v>
      </c>
      <c r="AG24" s="64">
        <f>CHOOSE($E24,SUMPRODUCT((AG25:AG$65)*($M25:$M$65)*($C25:V$65=$B24)),IF(NOT(ISNUMBER(Data!Z22)),0,ABS(($F24*100)-(Data!Z22-$I24)*$K24)),ABS(($F24*100)-(Data!Z22-$G24)*$K24))</f>
        <v>80.7692307692308</v>
      </c>
      <c r="AH24" s="64">
        <f>CHOOSE($E24,SUMPRODUCT((AH25:AH$65)*($M25:$M$65)*($C25:W$65=$B24)),IF(NOT(ISNUMBER(Data!AA22)),0,ABS(($F24*100)-(Data!AA22-$I24)*$K24)),ABS(($F24*100)-(Data!AA22-$G24)*$K24))</f>
        <v>97.8205128205128</v>
      </c>
      <c r="AI24" s="64">
        <f>CHOOSE($E24,SUMPRODUCT((AI25:AI$65)*($M25:$M$65)*($C25:X$65=$B24)),IF(NOT(ISNUMBER(Data!AB22)),0,ABS(($F24*100)-(Data!AB22-$I24)*$K24)),ABS(($F24*100)-(Data!AB22-$G24)*$K24))</f>
        <v>83.0769230769231</v>
      </c>
      <c r="AJ24" s="64">
        <f>CHOOSE($E24,SUMPRODUCT((AJ25:AJ$65)*($M25:$M$65)*($C25:Y$65=$B24)),IF(NOT(ISNUMBER(Data!AC22)),0,ABS(($F24*100)-(Data!AC22-$I24)*$K24)),ABS(($F24*100)-(Data!AC22-$G24)*$K24))</f>
        <v>73.5897435897436</v>
      </c>
      <c r="AK24" s="64">
        <f>CHOOSE($E24,SUMPRODUCT((AK25:AK$65)*($M25:$M$65)*($C25:Z$65=$B24)),IF(NOT(ISNUMBER(Data!AD22)),0,ABS(($F24*100)-(Data!AD22-$I24)*$K24)),ABS(($F24*100)-(Data!AD22-$G24)*$K24))</f>
        <v>51.2820512820513</v>
      </c>
      <c r="AL24" s="64">
        <f>CHOOSE($E24,SUMPRODUCT((AL25:AL$65)*($M25:$M$65)*($C25:AA$65=$B24)),IF(NOT(ISNUMBER(Data!AE22)),0,ABS(($F24*100)-(Data!AE22-$I24)*$K24)),ABS(($F24*100)-(Data!AE22-$G24)*$K24))</f>
        <v>84.8717948717949</v>
      </c>
      <c r="AM24" s="64">
        <f>CHOOSE($E24,SUMPRODUCT((AM25:AM$65)*($M25:$M$65)*($C25:AB$65=$B24)),IF(NOT(ISNUMBER(Data!AF22)),0,ABS(($F24*100)-(Data!AF22-$I24)*$K24)),ABS(($F24*100)-(Data!AF22-$G24)*$K24))</f>
        <v>86.6666666666667</v>
      </c>
      <c r="AN24" s="64">
        <f>CHOOSE($E24,SUMPRODUCT((AN25:AN$65)*($M25:$M$65)*($C25:AC$65=$B24)),IF(NOT(ISNUMBER(Data!AG22)),0,ABS(($F24*100)-(Data!AG22-$I24)*$K24)),ABS(($F24*100)-(Data!AG22-$G24)*$K24))</f>
        <v>62.8205128205128</v>
      </c>
      <c r="AO24" s="64">
        <f>CHOOSE($E24,SUMPRODUCT((AO25:AO$65)*($M25:$M$65)*($C25:AD$65=$B24)),IF(NOT(ISNUMBER(Data!AH22)),0,ABS(($F24*100)-(Data!AH22-$I24)*$K24)),ABS(($F24*100)-(Data!AH22-$G24)*$K24))</f>
        <v>95.5128205128205</v>
      </c>
      <c r="AP24" s="64">
        <f>CHOOSE($E24,SUMPRODUCT((AP25:AP$65)*($M25:$M$65)*($C25:AE$65=$B24)),IF(NOT(ISNUMBER(Data!AI22)),0,ABS(($F24*100)-(Data!AI22-$I24)*$K24)),ABS(($F24*100)-(Data!AI22-$G24)*$K24))</f>
        <v>95.5128205128205</v>
      </c>
      <c r="AQ24" s="64">
        <f>CHOOSE($E24,SUMPRODUCT((AQ25:AQ$65)*($M25:$M$65)*($C25:AF$65=$B24)),IF(NOT(ISNUMBER(Data!AJ22)),0,ABS(($F24*100)-(Data!AJ22-$I24)*$K24)),ABS(($F24*100)-(Data!AJ22-$G24)*$K24))</f>
        <v>96.7948717948718</v>
      </c>
      <c r="AR24" s="64">
        <f>CHOOSE($E24,SUMPRODUCT((AR25:AR$65)*($M25:$M$65)*($C25:AG$65=$B24)),IF(NOT(ISNUMBER(Data!AK22)),0,ABS(($F24*100)-(Data!AK22-$I24)*$K24)),ABS(($F24*100)-(Data!AK22-$G24)*$K24))</f>
        <v>91.1538461538462</v>
      </c>
      <c r="AS24" s="64">
        <f>CHOOSE($E24,SUMPRODUCT((AS25:AS$65)*($M25:$M$65)*($C25:AH$65=$B24)),IF(NOT(ISNUMBER(Data!AL22)),0,ABS(($F24*100)-(Data!AL22-$I24)*$K24)),ABS(($F24*100)-(Data!AL22-$G24)*$K24))</f>
        <v>91.1538461538462</v>
      </c>
      <c r="AT24" s="64">
        <f>CHOOSE($E24,SUMPRODUCT((AT25:AT$65)*($M25:$M$65)*($C25:AI$65=$B24)),IF(NOT(ISNUMBER(Data!AM22)),0,ABS(($F24*100)-(Data!AM22-$I24)*$K24)),ABS(($F24*100)-(Data!AM22-$G24)*$K24))</f>
        <v>91.1538461538462</v>
      </c>
      <c r="AU24" s="64">
        <f>CHOOSE($E24,SUMPRODUCT((AU25:AU$65)*($M25:$M$65)*($C25:AJ$65=$B24)),IF(NOT(ISNUMBER(Data!AN22)),0,ABS(($F24*100)-(Data!AN22-$I24)*$K24)),ABS(($F24*100)-(Data!AN22-$G24)*$K24))</f>
        <v>28.0769230769231</v>
      </c>
      <c r="AV24" s="64">
        <f>CHOOSE($E24,SUMPRODUCT((AV25:AV$65)*($M25:$M$65)*($C25:AK$65=$B24)),IF(NOT(ISNUMBER(Data!AO22)),0,ABS(($F24*100)-(Data!AO22-$I24)*$K24)),ABS(($F24*100)-(Data!AO22-$G24)*$K24))</f>
        <v>0</v>
      </c>
      <c r="AW24" s="64">
        <f>CHOOSE($E24,SUMPRODUCT((AW25:AW$65)*($M25:$M$65)*($C25:AL$65=$B24)),IF(NOT(ISNUMBER(Data!AP22)),0,ABS(($F24*100)-(Data!AP22-$I24)*$K24)),ABS(($F24*100)-(Data!AP22-$G24)*$K24))</f>
        <v>17.9487179487179</v>
      </c>
      <c r="AX24" s="64">
        <f>CHOOSE($E24,SUMPRODUCT((AX25:AX$65)*($M25:$M$65)*($C25:AM$65=$B24)),IF(NOT(ISNUMBER(Data!AQ22)),0,ABS(($F24*100)-(Data!AQ22-$I24)*$K24)),ABS(($F24*100)-(Data!AQ22-$G24)*$K24))</f>
        <v>0</v>
      </c>
      <c r="AY24" s="64">
        <f>CHOOSE($E24,SUMPRODUCT((AY25:AY$65)*($M25:$M$65)*($C25:AN$65=$B24)),IF(NOT(ISNUMBER(Data!AR22)),0,ABS(($F24*100)-(Data!AR22-$I24)*$K24)),ABS(($F24*100)-(Data!AR22-$G24)*$K24))</f>
        <v>53.8461538461539</v>
      </c>
      <c r="AZ24" s="64">
        <f>CHOOSE($E24,SUMPRODUCT((AZ25:AZ$65)*($M25:$M$65)*($C25:AO$65=$B24)),IF(NOT(ISNUMBER(Data!AS22)),0,ABS(($F24*100)-(Data!AS22-$I24)*$K24)),ABS(($F24*100)-(Data!AS22-$G24)*$K24))</f>
        <v>100</v>
      </c>
      <c r="BA24" s="64">
        <f>CHOOSE($E24,SUMPRODUCT((BA25:BA$65)*($M25:$M$65)*($C25:AP$65=$B24)),IF(NOT(ISNUMBER(Data!AT22)),0,ABS(($F24*100)-(Data!AT22-$I24)*$K24)),ABS(($F24*100)-(Data!AT22-$G24)*$K24))</f>
        <v>92.8205128205128</v>
      </c>
      <c r="BB24" s="64">
        <f>CHOOSE($E24,SUMPRODUCT((BB25:BB$65)*($M25:$M$65)*($C25:AQ$65=$B24)),IF(NOT(ISNUMBER(Data!AU22)),0,ABS(($F24*100)-(Data!AU22-$I24)*$K24)),ABS(($F24*100)-(Data!AU22-$G24)*$K24))</f>
        <v>68.7179487179487</v>
      </c>
      <c r="BC24" s="64">
        <f>CHOOSE($E24,SUMPRODUCT((BC25:BC$65)*($M25:$M$65)*($C25:AR$65=$B24)),IF(NOT(ISNUMBER(Data!AV22)),0,ABS(($F24*100)-(Data!AV22-$I24)*$K24)),ABS(($F24*100)-(Data!AV22-$G24)*$K24))</f>
        <v>38.7179487179487</v>
      </c>
      <c r="BD24" s="64">
        <f>CHOOSE($E24,SUMPRODUCT((BD25:BD$65)*($M25:$M$65)*($C25:AS$65=$B24)),IF(NOT(ISNUMBER(Data!AW22)),0,ABS(($F24*100)-(Data!AW22-$I24)*$K24)),ABS(($F24*100)-(Data!AW22-$G24)*$K24))</f>
        <v>38.7179487179487</v>
      </c>
      <c r="BE24" s="64">
        <f>CHOOSE($E24,SUMPRODUCT((BE25:BE$65)*($M25:$M$65)*($C25:AT$65=$B24)),IF(NOT(ISNUMBER(Data!AX22)),0,ABS(($F24*100)-(Data!AX22-$I24)*$K24)),ABS(($F24*100)-(Data!AX22-$G24)*$K24))</f>
        <v>88.5897435897436</v>
      </c>
      <c r="BF24" s="64">
        <f>CHOOSE($E24,SUMPRODUCT((BF25:BF$65)*($M25:$M$65)*($C25:AU$65=$B24)),IF(NOT(ISNUMBER(Data!AY22)),0,ABS(($F24*100)-(Data!AY22-$I24)*$K24)),ABS(($F24*100)-(Data!AY22-$G24)*$K24))</f>
        <v>85.8974358974359</v>
      </c>
      <c r="BG24" s="64">
        <f>CHOOSE($E24,SUMPRODUCT((BG25:BG$65)*($M25:$M$65)*($C25:AV$65=$B24)),IF(NOT(ISNUMBER(Data!AZ22)),0,ABS(($F24*100)-(Data!AZ22-$I24)*$K24)),ABS(($F24*100)-(Data!AZ22-$G24)*$K24))</f>
        <v>74.3589743589744</v>
      </c>
      <c r="BH24" s="64">
        <f>CHOOSE($E24,SUMPRODUCT((BH25:BH$65)*($M25:$M$65)*($C25:AW$65=$B24)),IF(NOT(ISNUMBER(Data!BA22)),0,ABS(($F24*100)-(Data!BA22-$I24)*$K24)),ABS(($F24*100)-(Data!BA22-$G24)*$K24))</f>
        <v>74.3589743589744</v>
      </c>
      <c r="BI24" s="64">
        <f>CHOOSE($E24,SUMPRODUCT((BI25:BI$65)*($M25:$M$65)*($C25:AX$65=$B24)),IF(NOT(ISNUMBER(Data!BB22)),0,ABS(($F24*100)-(Data!BB22-$I24)*$K24)),ABS(($F24*100)-(Data!BB22-$G24)*$K24))</f>
        <v>84.3589743589744</v>
      </c>
      <c r="BJ24" s="64">
        <f>CHOOSE($E24,SUMPRODUCT((BJ25:BJ$65)*($M25:$M$65)*($C25:AY$65=$B24)),IF(NOT(ISNUMBER(Data!BC22)),0,ABS(($F24*100)-(Data!BC22-$I24)*$K24)),ABS(($F24*100)-(Data!BC22-$G24)*$K24))</f>
        <v>11.6666666666667</v>
      </c>
      <c r="BK24" s="64">
        <f>CHOOSE($E24,SUMPRODUCT((BK25:BK$65)*($M25:$M$65)*($C25:AZ$65=$B24)),IF(NOT(ISNUMBER(Data!BD22)),0,ABS(($F24*100)-(Data!BD22-$I24)*$K24)),ABS(($F24*100)-(Data!BD22-$G24)*$K24))</f>
        <v>70.1282051282051</v>
      </c>
      <c r="BM24" s="65"/>
    </row>
    <row r="25" s="22" customFormat="1" spans="1:65">
      <c r="A25" s="24"/>
      <c r="B25" s="24" t="str">
        <f>tblIndicators!B18</f>
        <v>HELSEC_IP_02</v>
      </c>
      <c r="C25" s="24" t="str">
        <f>tblIndicators!C18</f>
        <v>HELSEC_IP</v>
      </c>
      <c r="D25" s="52">
        <f>tblIndicators!D18</f>
        <v>3</v>
      </c>
      <c r="E25" s="52">
        <f>tblIndicators!M18</f>
        <v>2</v>
      </c>
      <c r="F25" s="52">
        <f>tblIndicators!N18</f>
        <v>0</v>
      </c>
      <c r="G25" s="52">
        <f>tblIndicators!Q18</f>
        <v>0</v>
      </c>
      <c r="H25" s="52">
        <f>tblIndicators!R18</f>
        <v>0</v>
      </c>
      <c r="I25" s="52">
        <f>IF($E25=2,MIN(Data!G23:BD23),"")</f>
        <v>1</v>
      </c>
      <c r="J25" s="52">
        <f>IF($E25=2,MAX(Data!G23:BD23),"")</f>
        <v>100</v>
      </c>
      <c r="K25" s="54">
        <f t="shared" si="2"/>
        <v>1.01010101010101</v>
      </c>
      <c r="L25" s="62" t="str">
        <f>tblIndicators!Z18</f>
        <v>2.1.2) Access to healthcare</v>
      </c>
      <c r="M25" s="63">
        <f>tblIndicators!AC18</f>
        <v>0.166666666666667</v>
      </c>
      <c r="N25" s="64">
        <f>CHOOSE($E25,SUMPRODUCT((N26:N$65)*($M26:$M$65)*($C26:C$65=$B25)),IF(NOT(ISNUMBER(Data!G23)),0,ABS(($F25*100)-(Data!G23-$I25)*$K25)),ABS(($F25*100)-(Data!G23-$G25)*$K25))</f>
        <v>0</v>
      </c>
      <c r="O25" s="64">
        <f>CHOOSE($E25,SUMPRODUCT((O26:O$65)*($M26:$M$65)*($C26:D$65=$B25)),IF(NOT(ISNUMBER(Data!H23)),0,ABS(($F25*100)-(Data!H23-$I25)*$K25)),ABS(($F25*100)-(Data!H23-$G25)*$K25))</f>
        <v>57.8787878787879</v>
      </c>
      <c r="P25" s="64">
        <f>CHOOSE($E25,SUMPRODUCT((P26:P$65)*($M26:$M$65)*($C26:E$65=$B25)),IF(NOT(ISNUMBER(Data!I23)),0,ABS(($F25*100)-(Data!I23-$I25)*$K25)),ABS(($F25*100)-(Data!I23-$G25)*$K25))</f>
        <v>87.3737373737374</v>
      </c>
      <c r="Q25" s="64">
        <f>CHOOSE($E25,SUMPRODUCT((Q26:Q$65)*($M26:$M$65)*($C26:F$65=$B25)),IF(NOT(ISNUMBER(Data!J23)),0,ABS(($F25*100)-(Data!J23-$I25)*$K25)),ABS(($F25*100)-(Data!J23-$G25)*$K25))</f>
        <v>70.5050505050505</v>
      </c>
      <c r="R25" s="64">
        <f>CHOOSE($E25,SUMPRODUCT((R26:R$65)*($M26:$M$65)*($C26:G$65=$B25)),IF(NOT(ISNUMBER(Data!K23)),0,ABS(($F25*100)-(Data!K23-$I25)*$K25)),ABS(($F25*100)-(Data!K23-$G25)*$K25))</f>
        <v>66.3636363636364</v>
      </c>
      <c r="S25" s="64">
        <f>CHOOSE($E25,SUMPRODUCT((S26:S$65)*($M26:$M$65)*($C26:H$65=$B25)),IF(NOT(ISNUMBER(Data!L23)),0,ABS(($F25*100)-(Data!L23-$I25)*$K25)),ABS(($F25*100)-(Data!L23-$G25)*$K25))</f>
        <v>91.6161616161616</v>
      </c>
      <c r="T25" s="64">
        <f>CHOOSE($E25,SUMPRODUCT((T26:T$65)*($M26:$M$65)*($C26:I$65=$B25)),IF(NOT(ISNUMBER(Data!M23)),0,ABS(($F25*100)-(Data!M23-$I25)*$K25)),ABS(($F25*100)-(Data!M23-$G25)*$K25))</f>
        <v>91.6161616161616</v>
      </c>
      <c r="U25" s="64">
        <f>CHOOSE($E25,SUMPRODUCT((U26:U$65)*($M26:$M$65)*($C26:J$65=$B25)),IF(NOT(ISNUMBER(Data!N23)),0,ABS(($F25*100)-(Data!N23-$I25)*$K25)),ABS(($F25*100)-(Data!N23-$G25)*$K25))</f>
        <v>100</v>
      </c>
      <c r="V25" s="64">
        <f>CHOOSE($E25,SUMPRODUCT((V26:V$65)*($M26:$M$65)*($C26:K$65=$B25)),IF(NOT(ISNUMBER(Data!O23)),0,ABS(($F25*100)-(Data!O23-$I25)*$K25)),ABS(($F25*100)-(Data!O23-$G25)*$K25))</f>
        <v>100</v>
      </c>
      <c r="W25" s="64">
        <f>CHOOSE($E25,SUMPRODUCT((W26:W$65)*($M26:$M$65)*($C26:L$65=$B25)),IF(NOT(ISNUMBER(Data!P23)),0,ABS(($F25*100)-(Data!P23-$I25)*$K25)),ABS(($F25*100)-(Data!P23-$G25)*$K25))</f>
        <v>91.6161616161616</v>
      </c>
      <c r="X25" s="64">
        <f>CHOOSE($E25,SUMPRODUCT((X26:X$65)*($M26:$M$65)*($C26:M$65=$B25)),IF(NOT(ISNUMBER(Data!Q23)),0,ABS(($F25*100)-(Data!Q23-$I25)*$K25)),ABS(($F25*100)-(Data!Q23-$G25)*$K25))</f>
        <v>66.3636363636364</v>
      </c>
      <c r="Y25" s="64">
        <f>CHOOSE($E25,SUMPRODUCT((Y26:Y$65)*($M26:$M$65)*($C26:N$65=$B25)),IF(NOT(ISNUMBER(Data!R23)),0,ABS(($F25*100)-(Data!R23-$I25)*$K25)),ABS(($F25*100)-(Data!R23-$G25)*$K25))</f>
        <v>66.3636363636364</v>
      </c>
      <c r="Z25" s="64">
        <f>CHOOSE($E25,SUMPRODUCT((Z26:Z$65)*($M26:$M$65)*($C26:O$65=$B25)),IF(NOT(ISNUMBER(Data!S23)),0,ABS(($F25*100)-(Data!S23-$I25)*$K25)),ABS(($F25*100)-(Data!S23-$G25)*$K25))</f>
        <v>70.5050505050505</v>
      </c>
      <c r="AA25" s="64">
        <f>CHOOSE($E25,SUMPRODUCT((AA26:AA$65)*($M26:$M$65)*($C26:P$65=$B25)),IF(NOT(ISNUMBER(Data!T23)),0,ABS(($F25*100)-(Data!T23-$I25)*$K25)),ABS(($F25*100)-(Data!T23-$G25)*$K25))</f>
        <v>91.6161616161616</v>
      </c>
      <c r="AB25" s="64">
        <f>CHOOSE($E25,SUMPRODUCT((AB26:AB$65)*($M26:$M$65)*($C26:Q$65=$B25)),IF(NOT(ISNUMBER(Data!U23)),0,ABS(($F25*100)-(Data!U23-$I25)*$K25)),ABS(($F25*100)-(Data!U23-$G25)*$K25))</f>
        <v>91.6161616161616</v>
      </c>
      <c r="AC25" s="64">
        <f>CHOOSE($E25,SUMPRODUCT((AC26:AC$65)*($M26:$M$65)*($C26:R$65=$B25)),IF(NOT(ISNUMBER(Data!V23)),0,ABS(($F25*100)-(Data!V23-$I25)*$K25)),ABS(($F25*100)-(Data!V23-$G25)*$K25))</f>
        <v>100</v>
      </c>
      <c r="AD25" s="64">
        <f>CHOOSE($E25,SUMPRODUCT((AD26:AD$65)*($M26:$M$65)*($C26:S$65=$B25)),IF(NOT(ISNUMBER(Data!W23)),0,ABS(($F25*100)-(Data!W23-$I25)*$K25)),ABS(($F25*100)-(Data!W23-$G25)*$K25))</f>
        <v>100</v>
      </c>
      <c r="AE25" s="64">
        <f>CHOOSE($E25,SUMPRODUCT((AE26:AE$65)*($M26:$M$65)*($C26:T$65=$B25)),IF(NOT(ISNUMBER(Data!X23)),0,ABS(($F25*100)-(Data!X23-$I25)*$K25)),ABS(($F25*100)-(Data!X23-$G25)*$K25))</f>
        <v>87.3737373737374</v>
      </c>
      <c r="AF25" s="64">
        <f>CHOOSE($E25,SUMPRODUCT((AF26:AF$65)*($M26:$M$65)*($C26:U$65=$B25)),IF(NOT(ISNUMBER(Data!Y23)),0,ABS(($F25*100)-(Data!Y23-$I25)*$K25)),ABS(($F25*100)-(Data!Y23-$G25)*$K25))</f>
        <v>66.3636363636364</v>
      </c>
      <c r="AG25" s="64">
        <f>CHOOSE($E25,SUMPRODUCT((AG26:AG$65)*($M26:$M$65)*($C26:V$65=$B25)),IF(NOT(ISNUMBER(Data!Z23)),0,ABS(($F25*100)-(Data!Z23-$I25)*$K25)),ABS(($F25*100)-(Data!Z23-$G25)*$K25))</f>
        <v>62.1212121212121</v>
      </c>
      <c r="AH25" s="64">
        <f>CHOOSE($E25,SUMPRODUCT((AH26:AH$65)*($M26:$M$65)*($C26:W$65=$B25)),IF(NOT(ISNUMBER(Data!AA23)),0,ABS(($F25*100)-(Data!AA23-$I25)*$K25)),ABS(($F25*100)-(Data!AA23-$G25)*$K25))</f>
        <v>62.1212121212121</v>
      </c>
      <c r="AI25" s="64">
        <f>CHOOSE($E25,SUMPRODUCT((AI26:AI$65)*($M26:$M$65)*($C26:X$65=$B25)),IF(NOT(ISNUMBER(Data!AB23)),0,ABS(($F25*100)-(Data!AB23-$I25)*$K25)),ABS(($F25*100)-(Data!AB23-$G25)*$K25))</f>
        <v>62.1212121212121</v>
      </c>
      <c r="AJ25" s="64">
        <f>CHOOSE($E25,SUMPRODUCT((AJ26:AJ$65)*($M26:$M$65)*($C26:Y$65=$B25)),IF(NOT(ISNUMBER(Data!AC23)),0,ABS(($F25*100)-(Data!AC23-$I25)*$K25)),ABS(($F25*100)-(Data!AC23-$G25)*$K25))</f>
        <v>66.3636363636364</v>
      </c>
      <c r="AK25" s="64">
        <f>CHOOSE($E25,SUMPRODUCT((AK26:AK$65)*($M26:$M$65)*($C26:Z$65=$B25)),IF(NOT(ISNUMBER(Data!AD23)),0,ABS(($F25*100)-(Data!AD23-$I25)*$K25)),ABS(($F25*100)-(Data!AD23-$G25)*$K25))</f>
        <v>53.7373737373737</v>
      </c>
      <c r="AL25" s="64">
        <f>CHOOSE($E25,SUMPRODUCT((AL26:AL$65)*($M26:$M$65)*($C26:AA$65=$B25)),IF(NOT(ISNUMBER(Data!AE23)),0,ABS(($F25*100)-(Data!AE23-$I25)*$K25)),ABS(($F25*100)-(Data!AE23-$G25)*$K25))</f>
        <v>57.8787878787879</v>
      </c>
      <c r="AM25" s="64">
        <f>CHOOSE($E25,SUMPRODUCT((AM26:AM$65)*($M26:$M$65)*($C26:AB$65=$B25)),IF(NOT(ISNUMBER(Data!AF23)),0,ABS(($F25*100)-(Data!AF23-$I25)*$K25)),ABS(($F25*100)-(Data!AF23-$G25)*$K25))</f>
        <v>45.2525252525253</v>
      </c>
      <c r="AN25" s="64">
        <f>CHOOSE($E25,SUMPRODUCT((AN26:AN$65)*($M26:$M$65)*($C26:AC$65=$B25)),IF(NOT(ISNUMBER(Data!AG23)),0,ABS(($F25*100)-(Data!AG23-$I25)*$K25)),ABS(($F25*100)-(Data!AG23-$G25)*$K25))</f>
        <v>62.1212121212121</v>
      </c>
      <c r="AO25" s="64">
        <f>CHOOSE($E25,SUMPRODUCT((AO26:AO$65)*($M26:$M$65)*($C26:AD$65=$B25)),IF(NOT(ISNUMBER(Data!AH23)),0,ABS(($F25*100)-(Data!AH23-$I25)*$K25)),ABS(($F25*100)-(Data!AH23-$G25)*$K25))</f>
        <v>100</v>
      </c>
      <c r="AP25" s="64">
        <f>CHOOSE($E25,SUMPRODUCT((AP26:AP$65)*($M26:$M$65)*($C26:AE$65=$B25)),IF(NOT(ISNUMBER(Data!AI23)),0,ABS(($F25*100)-(Data!AI23-$I25)*$K25)),ABS(($F25*100)-(Data!AI23-$G25)*$K25))</f>
        <v>100</v>
      </c>
      <c r="AQ25" s="64">
        <f>CHOOSE($E25,SUMPRODUCT((AQ26:AQ$65)*($M26:$M$65)*($C26:AF$65=$B25)),IF(NOT(ISNUMBER(Data!AJ23)),0,ABS(($F25*100)-(Data!AJ23-$I25)*$K25)),ABS(($F25*100)-(Data!AJ23-$G25)*$K25))</f>
        <v>87.3737373737374</v>
      </c>
      <c r="AR25" s="64">
        <f>CHOOSE($E25,SUMPRODUCT((AR26:AR$65)*($M26:$M$65)*($C26:AG$65=$B25)),IF(NOT(ISNUMBER(Data!AK23)),0,ABS(($F25*100)-(Data!AK23-$I25)*$K25)),ABS(($F25*100)-(Data!AK23-$G25)*$K25))</f>
        <v>83.1313131313131</v>
      </c>
      <c r="AS25" s="64">
        <f>CHOOSE($E25,SUMPRODUCT((AS26:AS$65)*($M26:$M$65)*($C26:AH$65=$B25)),IF(NOT(ISNUMBER(Data!AL23)),0,ABS(($F25*100)-(Data!AL23-$I25)*$K25)),ABS(($F25*100)-(Data!AL23-$G25)*$K25))</f>
        <v>82.8282828282828</v>
      </c>
      <c r="AT25" s="64">
        <f>CHOOSE($E25,SUMPRODUCT((AT26:AT$65)*($M26:$M$65)*($C26:AI$65=$B25)),IF(NOT(ISNUMBER(Data!AM23)),0,ABS(($F25*100)-(Data!AM23-$I25)*$K25)),ABS(($F25*100)-(Data!AM23-$G25)*$K25))</f>
        <v>62.1212121212121</v>
      </c>
      <c r="AU25" s="64">
        <f>CHOOSE($E25,SUMPRODUCT((AU26:AU$65)*($M26:$M$65)*($C26:AJ$65=$B25)),IF(NOT(ISNUMBER(Data!AN23)),0,ABS(($F25*100)-(Data!AN23-$I25)*$K25)),ABS(($F25*100)-(Data!AN23-$G25)*$K25))</f>
        <v>49.4949494949495</v>
      </c>
      <c r="AV25" s="64">
        <f>CHOOSE($E25,SUMPRODUCT((AV26:AV$65)*($M26:$M$65)*($C26:AK$65=$B25)),IF(NOT(ISNUMBER(Data!AO23)),0,ABS(($F25*100)-(Data!AO23-$I25)*$K25)),ABS(($F25*100)-(Data!AO23-$G25)*$K25))</f>
        <v>70.7070707070707</v>
      </c>
      <c r="AW25" s="64">
        <f>CHOOSE($E25,SUMPRODUCT((AW26:AW$65)*($M26:$M$65)*($C26:AL$65=$B25)),IF(NOT(ISNUMBER(Data!AP23)),0,ABS(($F25*100)-(Data!AP23-$I25)*$K25)),ABS(($F25*100)-(Data!AP23-$G25)*$K25))</f>
        <v>70.7070707070707</v>
      </c>
      <c r="AX25" s="64">
        <f>CHOOSE($E25,SUMPRODUCT((AX26:AX$65)*($M26:$M$65)*($C26:AM$65=$B25)),IF(NOT(ISNUMBER(Data!AQ23)),0,ABS(($F25*100)-(Data!AQ23-$I25)*$K25)),ABS(($F25*100)-(Data!AQ23-$G25)*$K25))</f>
        <v>66.6666666666667</v>
      </c>
      <c r="AY25" s="64">
        <f>CHOOSE($E25,SUMPRODUCT((AY26:AY$65)*($M26:$M$65)*($C26:AN$65=$B25)),IF(NOT(ISNUMBER(Data!AR23)),0,ABS(($F25*100)-(Data!AR23-$I25)*$K25)),ABS(($F25*100)-(Data!AR23-$G25)*$K25))</f>
        <v>74.7474747474748</v>
      </c>
      <c r="AZ25" s="64">
        <f>CHOOSE($E25,SUMPRODUCT((AZ26:AZ$65)*($M26:$M$65)*($C26:AO$65=$B25)),IF(NOT(ISNUMBER(Data!AS23)),0,ABS(($F25*100)-(Data!AS23-$I25)*$K25)),ABS(($F25*100)-(Data!AS23-$G25)*$K25))</f>
        <v>100</v>
      </c>
      <c r="BA25" s="64">
        <f>CHOOSE($E25,SUMPRODUCT((BA26:BA$65)*($M26:$M$65)*($C26:AP$65=$B25)),IF(NOT(ISNUMBER(Data!AT23)),0,ABS(($F25*100)-(Data!AT23-$I25)*$K25)),ABS(($F25*100)-(Data!AT23-$G25)*$K25))</f>
        <v>100</v>
      </c>
      <c r="BB25" s="64">
        <f>CHOOSE($E25,SUMPRODUCT((BB26:BB$65)*($M26:$M$65)*($C26:AQ$65=$B25)),IF(NOT(ISNUMBER(Data!AU23)),0,ABS(($F25*100)-(Data!AU23-$I25)*$K25)),ABS(($F25*100)-(Data!AU23-$G25)*$K25))</f>
        <v>100</v>
      </c>
      <c r="BC25" s="64">
        <f>CHOOSE($E25,SUMPRODUCT((BC26:BC$65)*($M26:$M$65)*($C26:AR$65=$B25)),IF(NOT(ISNUMBER(Data!AV23)),0,ABS(($F25*100)-(Data!AV23-$I25)*$K25)),ABS(($F25*100)-(Data!AV23-$G25)*$K25))</f>
        <v>87.3737373737374</v>
      </c>
      <c r="BD25" s="64">
        <f>CHOOSE($E25,SUMPRODUCT((BD26:BD$65)*($M26:$M$65)*($C26:AS$65=$B25)),IF(NOT(ISNUMBER(Data!AW23)),0,ABS(($F25*100)-(Data!AW23-$I25)*$K25)),ABS(($F25*100)-(Data!AW23-$G25)*$K25))</f>
        <v>87.8787878787879</v>
      </c>
      <c r="BE25" s="64">
        <f>CHOOSE($E25,SUMPRODUCT((BE26:BE$65)*($M26:$M$65)*($C26:AT$65=$B25)),IF(NOT(ISNUMBER(Data!AX23)),0,ABS(($F25*100)-(Data!AX23-$I25)*$K25)),ABS(($F25*100)-(Data!AX23-$G25)*$K25))</f>
        <v>100</v>
      </c>
      <c r="BF25" s="64">
        <f>CHOOSE($E25,SUMPRODUCT((BF26:BF$65)*($M26:$M$65)*($C26:AU$65=$B25)),IF(NOT(ISNUMBER(Data!AY23)),0,ABS(($F25*100)-(Data!AY23-$I25)*$K25)),ABS(($F25*100)-(Data!AY23-$G25)*$K25))</f>
        <v>78.989898989899</v>
      </c>
      <c r="BG25" s="64">
        <f>CHOOSE($E25,SUMPRODUCT((BG26:BG$65)*($M26:$M$65)*($C26:AV$65=$B25)),IF(NOT(ISNUMBER(Data!AZ23)),0,ABS(($F25*100)-(Data!AZ23-$I25)*$K25)),ABS(($F25*100)-(Data!AZ23-$G25)*$K25))</f>
        <v>87.3737373737374</v>
      </c>
      <c r="BH25" s="64">
        <f>CHOOSE($E25,SUMPRODUCT((BH26:BH$65)*($M26:$M$65)*($C26:AW$65=$B25)),IF(NOT(ISNUMBER(Data!BA23)),0,ABS(($F25*100)-(Data!BA23-$I25)*$K25)),ABS(($F25*100)-(Data!BA23-$G25)*$K25))</f>
        <v>91.9191919191919</v>
      </c>
      <c r="BI25" s="64">
        <f>CHOOSE($E25,SUMPRODUCT((BI26:BI$65)*($M26:$M$65)*($C26:AX$65=$B25)),IF(NOT(ISNUMBER(Data!BB23)),0,ABS(($F25*100)-(Data!BB23-$I25)*$K25)),ABS(($F25*100)-(Data!BB23-$G25)*$K25))</f>
        <v>100</v>
      </c>
      <c r="BJ25" s="64">
        <f>CHOOSE($E25,SUMPRODUCT((BJ26:BJ$65)*($M26:$M$65)*($C26:AY$65=$B25)),IF(NOT(ISNUMBER(Data!BC23)),0,ABS(($F25*100)-(Data!BC23-$I25)*$K25)),ABS(($F25*100)-(Data!BC23-$G25)*$K25))</f>
        <v>49.4949494949495</v>
      </c>
      <c r="BK25" s="64">
        <f>CHOOSE($E25,SUMPRODUCT((BK26:BK$65)*($M26:$M$65)*($C26:AZ$65=$B25)),IF(NOT(ISNUMBER(Data!BD23)),0,ABS(($F25*100)-(Data!BD23-$I25)*$K25)),ABS(($F25*100)-(Data!BD23-$G25)*$K25))</f>
        <v>69.6969696969697</v>
      </c>
      <c r="BM25" s="65"/>
    </row>
    <row r="26" s="22" customFormat="1" spans="1:65">
      <c r="A26" s="24"/>
      <c r="B26" s="24" t="str">
        <f>tblIndicators!B19</f>
        <v>HELSEC_IP_03</v>
      </c>
      <c r="C26" s="24" t="str">
        <f>tblIndicators!C19</f>
        <v>HELSEC_IP</v>
      </c>
      <c r="D26" s="52">
        <f>tblIndicators!D19</f>
        <v>3</v>
      </c>
      <c r="E26" s="52">
        <f>tblIndicators!M19</f>
        <v>2</v>
      </c>
      <c r="F26" s="52">
        <f>tblIndicators!N19</f>
        <v>0</v>
      </c>
      <c r="G26" s="52">
        <f>tblIndicators!Q19</f>
        <v>0</v>
      </c>
      <c r="H26" s="52">
        <f>tblIndicators!R19</f>
        <v>0</v>
      </c>
      <c r="I26" s="52">
        <f>IF($E26=2,MIN(Data!G24:BD24),"")</f>
        <v>0.017</v>
      </c>
      <c r="J26" s="52">
        <f>IF($E26=2,MAX(Data!G24:BD24),"")</f>
        <v>24</v>
      </c>
      <c r="K26" s="54">
        <f t="shared" si="2"/>
        <v>4.16962014760455</v>
      </c>
      <c r="L26" s="62" t="str">
        <f>tblIndicators!Z19</f>
        <v>2.1.3) No. of beds per 1000</v>
      </c>
      <c r="M26" s="63">
        <f>tblIndicators!AC19</f>
        <v>0.166666666666667</v>
      </c>
      <c r="N26" s="64">
        <f>CHOOSE($E26,SUMPRODUCT((N27:N$65)*($M27:$M$65)*($C27:C$65=$B26)),IF(NOT(ISNUMBER(Data!G24)),0,ABS(($F26*100)-(Data!G24-$I26)*$K26)),ABS(($F26*100)-(Data!G24-$G26)*$K26))</f>
        <v>100</v>
      </c>
      <c r="O26" s="64">
        <f>CHOOSE($E26,SUMPRODUCT((O27:O$65)*($M27:$M$65)*($C27:D$65=$B26)),IF(NOT(ISNUMBER(Data!H24)),0,ABS(($F26*100)-(Data!H24-$I26)*$K26)),ABS(($F26*100)-(Data!H24-$G26)*$K26))</f>
        <v>6.18354667889755</v>
      </c>
      <c r="P26" s="64">
        <f>CHOOSE($E26,SUMPRODUCT((P27:P$65)*($M27:$M$65)*($C27:E$65=$B26)),IF(NOT(ISNUMBER(Data!I24)),0,ABS(($F26*100)-(Data!I24-$I26)*$K26)),ABS(($F26*100)-(Data!I24-$G26)*$K26))</f>
        <v>18.6924071217112</v>
      </c>
      <c r="Q26" s="64">
        <f>CHOOSE($E26,SUMPRODUCT((Q27:Q$65)*($M27:$M$65)*($C27:F$65=$B26)),IF(NOT(ISNUMBER(Data!J24)),0,ABS(($F26*100)-(Data!J24-$I26)*$K26)),ABS(($F26*100)-(Data!J24-$G26)*$K26))</f>
        <v>10.7701288412626</v>
      </c>
      <c r="R26" s="64">
        <f>CHOOSE($E26,SUMPRODUCT((R27:R$65)*($M27:$M$65)*($C27:G$65=$B26)),IF(NOT(ISNUMBER(Data!K24)),0,ABS(($F26*100)-(Data!K24-$I26)*$K26)),ABS(($F26*100)-(Data!K24-$G26)*$K26))</f>
        <v>7.85139473793937</v>
      </c>
      <c r="S26" s="64">
        <f>CHOOSE($E26,SUMPRODUCT((S27:S$65)*($M27:$M$65)*($C27:H$65=$B26)),IF(NOT(ISNUMBER(Data!L24)),0,ABS(($F26*100)-(Data!L24-$I26)*$K26)),ABS(($F26*100)-(Data!L24-$G26)*$K26))</f>
        <v>5.05774923904432</v>
      </c>
      <c r="T26" s="64">
        <f>CHOOSE($E26,SUMPRODUCT((T27:T$65)*($M27:$M$65)*($C27:I$65=$B26)),IF(NOT(ISNUMBER(Data!M24)),0,ABS(($F26*100)-(Data!M24-$I26)*$K26)),ABS(($F26*100)-(Data!M24-$G26)*$K26))</f>
        <v>12.4379769003044</v>
      </c>
      <c r="U26" s="64">
        <f>CHOOSE($E26,SUMPRODUCT((U27:U$65)*($M27:$M$65)*($C27:J$65=$B26)),IF(NOT(ISNUMBER(Data!N24)),0,ABS(($F26*100)-(Data!N24-$I26)*$K26)),ABS(($F26*100)-(Data!N24-$G26)*$K26))</f>
        <v>10.3531668265021</v>
      </c>
      <c r="V26" s="64">
        <f>CHOOSE($E26,SUMPRODUCT((V27:V$65)*($M27:$M$65)*($C27:K$65=$B26)),IF(NOT(ISNUMBER(Data!O24)),0,ABS(($F26*100)-(Data!O24-$I26)*$K26)),ABS(($F26*100)-(Data!O24-$G26)*$K26))</f>
        <v>54.2592669807781</v>
      </c>
      <c r="W26" s="64">
        <f>CHOOSE($E26,SUMPRODUCT((W27:W$65)*($M27:$M$65)*($C27:L$65=$B26)),IF(NOT(ISNUMBER(Data!P24)),0,ABS(($F26*100)-(Data!P24-$I26)*$K26)),ABS(($F26*100)-(Data!P24-$G26)*$K26))</f>
        <v>10.3531668265021</v>
      </c>
      <c r="X26" s="64">
        <f>CHOOSE($E26,SUMPRODUCT((X27:X$65)*($M27:$M$65)*($C27:M$65=$B26)),IF(NOT(ISNUMBER(Data!Q24)),0,ABS(($F26*100)-(Data!Q24-$I26)*$K26)),ABS(($F26*100)-(Data!Q24-$G26)*$K26))</f>
        <v>4.51569861985573</v>
      </c>
      <c r="Y26" s="64">
        <f>CHOOSE($E26,SUMPRODUCT((Y27:Y$65)*($M27:$M$65)*($C27:N$65=$B26)),IF(NOT(ISNUMBER(Data!R24)),0,ABS(($F26*100)-(Data!R24-$I26)*$K26)),ABS(($F26*100)-(Data!R24-$G26)*$K26))</f>
        <v>6.60050869365801</v>
      </c>
      <c r="Z26" s="64">
        <f>CHOOSE($E26,SUMPRODUCT((Z27:Z$65)*($M27:$M$65)*($C27:O$65=$B26)),IF(NOT(ISNUMBER(Data!S24)),0,ABS(($F26*100)-(Data!S24-$I26)*$K26)),ABS(($F26*100)-(Data!S24-$G26)*$K26))</f>
        <v>8.68531876746029</v>
      </c>
      <c r="AA26" s="64">
        <f>CHOOSE($E26,SUMPRODUCT((AA27:AA$65)*($M27:$M$65)*($C27:P$65=$B26)),IF(NOT(ISNUMBER(Data!T24)),0,ABS(($F26*100)-(Data!T24-$I26)*$K26)),ABS(($F26*100)-(Data!T24-$G26)*$K26))</f>
        <v>12.8549389150648</v>
      </c>
      <c r="AB26" s="64">
        <f>CHOOSE($E26,SUMPRODUCT((AB27:AB$65)*($M27:$M$65)*($C27:Q$65=$B26)),IF(NOT(ISNUMBER(Data!U24)),0,ABS(($F26*100)-(Data!U24-$I26)*$K26)),ABS(($F26*100)-(Data!U24-$G26)*$K26))</f>
        <v>24.5298753283576</v>
      </c>
      <c r="AC26" s="64">
        <f>CHOOSE($E26,SUMPRODUCT((AC27:AC$65)*($M27:$M$65)*($C27:R$65=$B26)),IF(NOT(ISNUMBER(Data!V24)),0,ABS(($F26*100)-(Data!V24-$I26)*$K26)),ABS(($F26*100)-(Data!V24-$G26)*$K26))</f>
        <v>12.3962806988283</v>
      </c>
      <c r="AD26" s="64">
        <f>CHOOSE($E26,SUMPRODUCT((AD27:AD$65)*($M27:$M$65)*($C27:S$65=$B26)),IF(NOT(ISNUMBER(Data!W24)),0,ABS(($F26*100)-(Data!W24-$I26)*$K26)),ABS(($F26*100)-(Data!W24-$G26)*$K26))</f>
        <v>9.60263519993329</v>
      </c>
      <c r="AE26" s="64">
        <f>CHOOSE($E26,SUMPRODUCT((AE27:AE$65)*($M27:$M$65)*($C27:T$65=$B26)),IF(NOT(ISNUMBER(Data!X24)),0,ABS(($F26*100)-(Data!X24-$I26)*$K26)),ABS(($F26*100)-(Data!X24-$G26)*$K26))</f>
        <v>20.7355209940374</v>
      </c>
      <c r="AF26" s="64">
        <f>CHOOSE($E26,SUMPRODUCT((AF27:AF$65)*($M27:$M$65)*($C27:U$65=$B26)),IF(NOT(ISNUMBER(Data!Y24)),0,ABS(($F26*100)-(Data!Y24-$I26)*$K26)),ABS(($F26*100)-(Data!Y24-$G26)*$K26))</f>
        <v>20.1100779718968</v>
      </c>
      <c r="AG26" s="64">
        <f>CHOOSE($E26,SUMPRODUCT((AG27:AG$65)*($M27:$M$65)*($C27:V$65=$B26)),IF(NOT(ISNUMBER(Data!Z24)),0,ABS(($F26*100)-(Data!Z24-$I26)*$K26)),ABS(($F26*100)-(Data!Z24-$G26)*$K26))</f>
        <v>19.1510653379477</v>
      </c>
      <c r="AH26" s="64">
        <f>CHOOSE($E26,SUMPRODUCT((AH27:AH$65)*($M27:$M$65)*($C27:W$65=$B26)),IF(NOT(ISNUMBER(Data!AA24)),0,ABS(($F26*100)-(Data!AA24-$I26)*$K26)),ABS(($F26*100)-(Data!AA24-$G26)*$K26))</f>
        <v>10.26977442355</v>
      </c>
      <c r="AI26" s="64">
        <f>CHOOSE($E26,SUMPRODUCT((AI27:AI$65)*($M27:$M$65)*($C27:X$65=$B26)),IF(NOT(ISNUMBER(Data!AB24)),0,ABS(($F26*100)-(Data!AB24-$I26)*$K26)),ABS(($F26*100)-(Data!AB24-$G26)*$K26))</f>
        <v>20.1100779718968</v>
      </c>
      <c r="AJ26" s="64">
        <f>CHOOSE($E26,SUMPRODUCT((AJ27:AJ$65)*($M27:$M$65)*($C27:Y$65=$B26)),IF(NOT(ISNUMBER(Data!AC24)),0,ABS(($F26*100)-(Data!AC24-$I26)*$K26)),ABS(($F26*100)-(Data!AC24-$G26)*$K26))</f>
        <v>15.731976816912</v>
      </c>
      <c r="AK26" s="64">
        <f>CHOOSE($E26,SUMPRODUCT((AK27:AK$65)*($M27:$M$65)*($C27:Z$65=$B26)),IF(NOT(ISNUMBER(Data!AD24)),0,ABS(($F26*100)-(Data!AD24-$I26)*$K26)),ABS(($F26*100)-(Data!AD24-$G26)*$K26))</f>
        <v>7.93478714089147</v>
      </c>
      <c r="AL26" s="64">
        <f>CHOOSE($E26,SUMPRODUCT((AL27:AL$65)*($M27:$M$65)*($C27:AA$65=$B26)),IF(NOT(ISNUMBER(Data!AE24)),0,ABS(($F26*100)-(Data!AE24-$I26)*$K26)),ABS(($F26*100)-(Data!AE24-$G26)*$K26))</f>
        <v>9.31076178960097</v>
      </c>
      <c r="AM26" s="64">
        <f>CHOOSE($E26,SUMPRODUCT((AM27:AM$65)*($M27:$M$65)*($C27:AB$65=$B26)),IF(NOT(ISNUMBER(Data!AF24)),0,ABS(($F26*100)-(Data!AF24-$I26)*$K26)),ABS(($F26*100)-(Data!AF24-$G26)*$K26))</f>
        <v>6.60050869365801</v>
      </c>
      <c r="AN26" s="64">
        <f>CHOOSE($E26,SUMPRODUCT((AN27:AN$65)*($M27:$M$65)*($C27:AC$65=$B26)),IF(NOT(ISNUMBER(Data!AG24)),0,ABS(($F26*100)-(Data!AG24-$I26)*$K26)),ABS(($F26*100)-(Data!AG24-$G26)*$K26))</f>
        <v>0.346078472251178</v>
      </c>
      <c r="AO26" s="64">
        <f>CHOOSE($E26,SUMPRODUCT((AO27:AO$65)*($M27:$M$65)*($C27:AD$65=$B26)),IF(NOT(ISNUMBER(Data!AH24)),0,ABS(($F26*100)-(Data!AH24-$I26)*$K26)),ABS(($F26*100)-(Data!AH24-$G26)*$K26))</f>
        <v>34.8705332944169</v>
      </c>
      <c r="AP26" s="64">
        <f>CHOOSE($E26,SUMPRODUCT((AP27:AP$65)*($M27:$M$65)*($C27:AE$65=$B26)),IF(NOT(ISNUMBER(Data!AI24)),0,ABS(($F26*100)-(Data!AI24-$I26)*$K26)),ABS(($F26*100)-(Data!AI24-$G26)*$K26))</f>
        <v>42.8762039778176</v>
      </c>
      <c r="AQ26" s="64">
        <f>CHOOSE($E26,SUMPRODUCT((AQ27:AQ$65)*($M27:$M$65)*($C27:AF$65=$B26)),IF(NOT(ISNUMBER(Data!AJ24)),0,ABS(($F26*100)-(Data!AJ24-$I26)*$K26)),ABS(($F26*100)-(Data!AJ24-$G26)*$K26))</f>
        <v>8.26835675269983</v>
      </c>
      <c r="AR26" s="64">
        <f>CHOOSE($E26,SUMPRODUCT((AR27:AR$65)*($M27:$M$65)*($C27:AG$65=$B26)),IF(NOT(ISNUMBER(Data!AK24)),0,ABS(($F26*100)-(Data!AK24-$I26)*$K26)),ABS(($F26*100)-(Data!AK24-$G26)*$K26))</f>
        <v>19.9432931659926</v>
      </c>
      <c r="AS26" s="64">
        <f>CHOOSE($E26,SUMPRODUCT((AS27:AS$65)*($M27:$M$65)*($C27:AH$65=$B26)),IF(NOT(ISNUMBER(Data!AL24)),0,ABS(($F26*100)-(Data!AL24-$I26)*$K26)),ABS(($F26*100)-(Data!AL24-$G26)*$K26))</f>
        <v>34.1200016678481</v>
      </c>
      <c r="AT26" s="64">
        <f>CHOOSE($E26,SUMPRODUCT((AT27:AT$65)*($M27:$M$65)*($C27:AI$65=$B26)),IF(NOT(ISNUMBER(Data!AM24)),0,ABS(($F26*100)-(Data!AM24-$I26)*$K26)),ABS(($F26*100)-(Data!AM24-$G26)*$K26))</f>
        <v>15.6068882124838</v>
      </c>
      <c r="AU26" s="64">
        <f>CHOOSE($E26,SUMPRODUCT((AU27:AU$65)*($M27:$M$65)*($C27:AJ$65=$B26)),IF(NOT(ISNUMBER(Data!AN24)),0,ABS(($F26*100)-(Data!AN24-$I26)*$K26)),ABS(($F26*100)-(Data!AN24-$G26)*$K26))</f>
        <v>15.773673018388</v>
      </c>
      <c r="AV26" s="64">
        <f>CHOOSE($E26,SUMPRODUCT((AV27:AV$65)*($M27:$M$65)*($C27:AK$65=$B26)),IF(NOT(ISNUMBER(Data!AO24)),0,ABS(($F26*100)-(Data!AO24-$I26)*$K26)),ABS(($F26*100)-(Data!AO24-$G26)*$K26))</f>
        <v>9.10228078222074</v>
      </c>
      <c r="AW26" s="64">
        <f>CHOOSE($E26,SUMPRODUCT((AW27:AW$65)*($M27:$M$65)*($C27:AL$65=$B26)),IF(NOT(ISNUMBER(Data!AP24)),0,ABS(($F26*100)-(Data!AP24-$I26)*$K26)),ABS(($F26*100)-(Data!AP24-$G26)*$K26))</f>
        <v>4.93266063461619</v>
      </c>
      <c r="AX26" s="64">
        <f>CHOOSE($E26,SUMPRODUCT((AX27:AX$65)*($M27:$M$65)*($C27:AM$65=$B26)),IF(NOT(ISNUMBER(Data!AQ24)),0,ABS(($F26*100)-(Data!AQ24-$I26)*$K26)),ABS(($F26*100)-(Data!AQ24-$G26)*$K26))</f>
        <v>9.14397698369679</v>
      </c>
      <c r="AY26" s="64">
        <f>CHOOSE($E26,SUMPRODUCT((AY27:AY$65)*($M27:$M$65)*($C27:AN$65=$B26)),IF(NOT(ISNUMBER(Data!AR24)),0,ABS(($F26*100)-(Data!AR24-$I26)*$K26)),ABS(($F26*100)-(Data!AR24-$G26)*$K26))</f>
        <v>11.187090856023</v>
      </c>
      <c r="AZ26" s="64">
        <f>CHOOSE($E26,SUMPRODUCT((AZ27:AZ$65)*($M27:$M$65)*($C27:AO$65=$B26)),IF(NOT(ISNUMBER(Data!AS24)),0,ABS(($F26*100)-(Data!AS24-$I26)*$K26)),ABS(($F26*100)-(Data!AS24-$G26)*$K26))</f>
        <v>31.7433181837135</v>
      </c>
      <c r="BA26" s="64">
        <f>CHOOSE($E26,SUMPRODUCT((BA27:BA$65)*($M27:$M$65)*($C27:AP$65=$B26)),IF(NOT(ISNUMBER(Data!AT24)),0,ABS(($F26*100)-(Data!AT24-$I26)*$K26)),ABS(($F26*100)-(Data!AT24-$G26)*$K26))</f>
        <v>29.5751157069591</v>
      </c>
      <c r="BB26" s="64">
        <f>CHOOSE($E26,SUMPRODUCT((BB27:BB$65)*($M27:$M$65)*($C27:AQ$65=$B26)),IF(NOT(ISNUMBER(Data!AU24)),0,ABS(($F26*100)-(Data!AU24-$I26)*$K26)),ABS(($F26*100)-(Data!AU24-$G26)*$K26))</f>
        <v>34.5369636826085</v>
      </c>
      <c r="BC26" s="64">
        <f>CHOOSE($E26,SUMPRODUCT((BC27:BC$65)*($M27:$M$65)*($C27:AR$65=$B26)),IF(NOT(ISNUMBER(Data!AV24)),0,ABS(($F26*100)-(Data!AV24-$I26)*$K26)),ABS(($F26*100)-(Data!AV24-$G26)*$K26))</f>
        <v>17.8584830921903</v>
      </c>
      <c r="BD26" s="64">
        <f>CHOOSE($E26,SUMPRODUCT((BD27:BD$65)*($M27:$M$65)*($C27:AS$65=$B26)),IF(NOT(ISNUMBER(Data!AW24)),0,ABS(($F26*100)-(Data!AW24-$I26)*$K26)),ABS(($F26*100)-(Data!AW24-$G26)*$K26))</f>
        <v>23.2789892840762</v>
      </c>
      <c r="BE26" s="64">
        <f>CHOOSE($E26,SUMPRODUCT((BE27:BE$65)*($M27:$M$65)*($C27:AT$65=$B26)),IF(NOT(ISNUMBER(Data!AX24)),0,ABS(($F26*100)-(Data!AX24-$I26)*$K26)),ABS(($F26*100)-(Data!AX24-$G26)*$K26))</f>
        <v>19.5263311512321</v>
      </c>
      <c r="BF26" s="64">
        <f>CHOOSE($E26,SUMPRODUCT((BF27:BF$65)*($M27:$M$65)*($C27:AU$65=$B26)),IF(NOT(ISNUMBER(Data!AY24)),0,ABS(($F26*100)-(Data!AY24-$I26)*$K26)),ABS(($F26*100)-(Data!AY24-$G26)*$K26))</f>
        <v>40.3744318892549</v>
      </c>
      <c r="BG26" s="64">
        <f>CHOOSE($E26,SUMPRODUCT((BG27:BG$65)*($M27:$M$65)*($C27:AV$65=$B26)),IF(NOT(ISNUMBER(Data!AZ24)),0,ABS(($F26*100)-(Data!AZ24-$I26)*$K26)),ABS(($F26*100)-(Data!AZ24-$G26)*$K26))</f>
        <v>12.6047617062086</v>
      </c>
      <c r="BH26" s="64">
        <f>CHOOSE($E26,SUMPRODUCT((BH27:BH$65)*($M27:$M$65)*($C27:AW$65=$B26)),IF(NOT(ISNUMBER(Data!BA24)),0,ABS(($F26*100)-(Data!BA24-$I26)*$K26)),ABS(($F26*100)-(Data!BA24-$G26)*$K26))</f>
        <v>13.3552933327774</v>
      </c>
      <c r="BI26" s="64">
        <f>CHOOSE($E26,SUMPRODUCT((BI27:BI$65)*($M27:$M$65)*($C27:AX$65=$B26)),IF(NOT(ISNUMBER(Data!BB24)),0,ABS(($F26*100)-(Data!BB24-$I26)*$K26)),ABS(($F26*100)-(Data!BB24-$G26)*$K26))</f>
        <v>18.2754451069508</v>
      </c>
      <c r="BJ26" s="64">
        <f>CHOOSE($E26,SUMPRODUCT((BJ27:BJ$65)*($M27:$M$65)*($C27:AY$65=$B26)),IF(NOT(ISNUMBER(Data!BC24)),0,ABS(($F26*100)-(Data!BC24-$I26)*$K26)),ABS(($F26*100)-(Data!BC24-$G26)*$K26))</f>
        <v>0</v>
      </c>
      <c r="BK26" s="64">
        <f>CHOOSE($E26,SUMPRODUCT((BK27:BK$65)*($M27:$M$65)*($C27:AZ$65=$B26)),IF(NOT(ISNUMBER(Data!BD24)),0,ABS(($F26*100)-(Data!BD24-$I26)*$K26)),ABS(($F26*100)-(Data!BD24-$G26)*$K26))</f>
        <v>9.10228078222074</v>
      </c>
      <c r="BM26" s="65"/>
    </row>
    <row r="27" s="22" customFormat="1" spans="1:65">
      <c r="A27" s="24"/>
      <c r="B27" s="24" t="str">
        <f>tblIndicators!B20</f>
        <v>HELSEC_IP_04</v>
      </c>
      <c r="C27" s="24" t="str">
        <f>tblIndicators!C20</f>
        <v>HELSEC_IP</v>
      </c>
      <c r="D27" s="52">
        <f>tblIndicators!D20</f>
        <v>3</v>
      </c>
      <c r="E27" s="52">
        <f>tblIndicators!M20</f>
        <v>2</v>
      </c>
      <c r="F27" s="52">
        <f>tblIndicators!N20</f>
        <v>0</v>
      </c>
      <c r="G27" s="52">
        <f>tblIndicators!Q20</f>
        <v>0</v>
      </c>
      <c r="H27" s="52">
        <f>tblIndicators!R20</f>
        <v>0</v>
      </c>
      <c r="I27" s="52">
        <f>IF($E27=2,MIN(Data!G25:BD25),"")</f>
        <v>0.3</v>
      </c>
      <c r="J27" s="52">
        <f>IF($E27=2,MAX(Data!G25:BD25),"")</f>
        <v>17.7</v>
      </c>
      <c r="K27" s="54">
        <f t="shared" si="2"/>
        <v>5.74712643678161</v>
      </c>
      <c r="L27" s="62" t="str">
        <f>tblIndicators!Z20</f>
        <v>2.1.4) Number of doctors per 1000</v>
      </c>
      <c r="M27" s="63">
        <f>tblIndicators!AC20</f>
        <v>0.166666666666667</v>
      </c>
      <c r="N27" s="64">
        <f>CHOOSE($E27,SUMPRODUCT((N28:N$65)*($M28:$M$65)*($C28:C$65=$B27)),IF(NOT(ISNUMBER(Data!G25)),0,ABS(($F27*100)-(Data!G25-$I27)*$K27)),ABS(($F27*100)-(Data!G25-$G27)*$K27))</f>
        <v>24.367816091954</v>
      </c>
      <c r="O27" s="64">
        <f>CHOOSE($E27,SUMPRODUCT((O28:O$65)*($M28:$M$65)*($C28:D$65=$B27)),IF(NOT(ISNUMBER(Data!H25)),0,ABS(($F27*100)-(Data!H25-$I27)*$K27)),ABS(($F27*100)-(Data!H25-$G27)*$K27))</f>
        <v>1.72413793103448</v>
      </c>
      <c r="P27" s="64">
        <f>CHOOSE($E27,SUMPRODUCT((P28:P$65)*($M28:$M$65)*($C28:E$65=$B27)),IF(NOT(ISNUMBER(Data!I25)),0,ABS(($F27*100)-(Data!I25-$I27)*$K27)),ABS(($F27*100)-(Data!I25-$G27)*$K27))</f>
        <v>16.6666666666667</v>
      </c>
      <c r="Q27" s="64">
        <f>CHOOSE($E27,SUMPRODUCT((Q28:Q$65)*($M28:$M$65)*($C28:F$65=$B27)),IF(NOT(ISNUMBER(Data!J25)),0,ABS(($F27*100)-(Data!J25-$I27)*$K27)),ABS(($F27*100)-(Data!J25-$G27)*$K27))</f>
        <v>21.264367816092</v>
      </c>
      <c r="R27" s="64">
        <f>CHOOSE($E27,SUMPRODUCT((R28:R$65)*($M28:$M$65)*($C28:G$65=$B27)),IF(NOT(ISNUMBER(Data!K25)),0,ABS(($F27*100)-(Data!K25-$I27)*$K27)),ABS(($F27*100)-(Data!K25-$G27)*$K27))</f>
        <v>18.9655172413793</v>
      </c>
      <c r="S27" s="64">
        <f>CHOOSE($E27,SUMPRODUCT((S28:S$65)*($M28:$M$65)*($C28:H$65=$B27)),IF(NOT(ISNUMBER(Data!L25)),0,ABS(($F27*100)-(Data!L25-$I27)*$K27)),ABS(($F27*100)-(Data!L25-$G27)*$K27))</f>
        <v>13.1034482758621</v>
      </c>
      <c r="T27" s="64">
        <f>CHOOSE($E27,SUMPRODUCT((T28:T$65)*($M28:$M$65)*($C28:I$65=$B27)),IF(NOT(ISNUMBER(Data!M25)),0,ABS(($F27*100)-(Data!M25-$I27)*$K27)),ABS(($F27*100)-(Data!M25-$G27)*$K27))</f>
        <v>12.0114942528736</v>
      </c>
      <c r="U27" s="64">
        <f>CHOOSE($E27,SUMPRODUCT((U28:U$65)*($M28:$M$65)*($C28:J$65=$B27)),IF(NOT(ISNUMBER(Data!N25)),0,ABS(($F27*100)-(Data!N25-$I27)*$K27)),ABS(($F27*100)-(Data!N25-$G27)*$K27))</f>
        <v>3.44827586206897</v>
      </c>
      <c r="V27" s="64">
        <f>CHOOSE($E27,SUMPRODUCT((V28:V$65)*($M28:$M$65)*($C28:K$65=$B27)),IF(NOT(ISNUMBER(Data!O25)),0,ABS(($F27*100)-(Data!O25-$I27)*$K27)),ABS(($F27*100)-(Data!O25-$G27)*$K27))</f>
        <v>4.6551724137931</v>
      </c>
      <c r="W27" s="64">
        <f>CHOOSE($E27,SUMPRODUCT((W28:W$65)*($M28:$M$65)*($C28:L$65=$B27)),IF(NOT(ISNUMBER(Data!P25)),0,ABS(($F27*100)-(Data!P25-$I27)*$K27)),ABS(($F27*100)-(Data!P25-$G27)*$K27))</f>
        <v>13.3908045977012</v>
      </c>
      <c r="X27" s="64">
        <f>CHOOSE($E27,SUMPRODUCT((X28:X$65)*($M28:$M$65)*($C28:M$65=$B27)),IF(NOT(ISNUMBER(Data!Q25)),0,ABS(($F27*100)-(Data!Q25-$I27)*$K27)),ABS(($F27*100)-(Data!Q25-$G27)*$K27))</f>
        <v>12.6436781609195</v>
      </c>
      <c r="Y27" s="64">
        <f>CHOOSE($E27,SUMPRODUCT((Y28:Y$65)*($M28:$M$65)*($C28:N$65=$B27)),IF(NOT(ISNUMBER(Data!R25)),0,ABS(($F27*100)-(Data!R25-$I27)*$K27)),ABS(($F27*100)-(Data!R25-$G27)*$K27))</f>
        <v>4.59770114942529</v>
      </c>
      <c r="Z27" s="64">
        <f>CHOOSE($E27,SUMPRODUCT((Z28:Z$65)*($M28:$M$65)*($C28:O$65=$B27)),IF(NOT(ISNUMBER(Data!S25)),0,ABS(($F27*100)-(Data!S25-$I27)*$K27)),ABS(($F27*100)-(Data!S25-$G27)*$K27))</f>
        <v>4.08045977011494</v>
      </c>
      <c r="AA27" s="64">
        <f>CHOOSE($E27,SUMPRODUCT((AA28:AA$65)*($M28:$M$65)*($C28:P$65=$B27)),IF(NOT(ISNUMBER(Data!T25)),0,ABS(($F27*100)-(Data!T25-$I27)*$K27)),ABS(($F27*100)-(Data!T25-$G27)*$K27))</f>
        <v>18.2758620689655</v>
      </c>
      <c r="AB27" s="64">
        <f>CHOOSE($E27,SUMPRODUCT((AB28:AB$65)*($M28:$M$65)*($C28:Q$65=$B27)),IF(NOT(ISNUMBER(Data!U25)),0,ABS(($F27*100)-(Data!U25-$I27)*$K27)),ABS(($F27*100)-(Data!U25-$G27)*$K27))</f>
        <v>42.183908045977</v>
      </c>
      <c r="AC27" s="64">
        <f>CHOOSE($E27,SUMPRODUCT((AC28:AC$65)*($M28:$M$65)*($C28:R$65=$B27)),IF(NOT(ISNUMBER(Data!V25)),0,ABS(($F27*100)-(Data!V25-$I27)*$K27)),ABS(($F27*100)-(Data!V25-$G27)*$K27))</f>
        <v>16.0344827586207</v>
      </c>
      <c r="AD27" s="64">
        <f>CHOOSE($E27,SUMPRODUCT((AD28:AD$65)*($M28:$M$65)*($C28:S$65=$B27)),IF(NOT(ISNUMBER(Data!W25)),0,ABS(($F27*100)-(Data!W25-$I27)*$K27)),ABS(($F27*100)-(Data!W25-$G27)*$K27))</f>
        <v>17.4137931034483</v>
      </c>
      <c r="AE27" s="64">
        <f>CHOOSE($E27,SUMPRODUCT((AE28:AE$65)*($M28:$M$65)*($C28:T$65=$B27)),IF(NOT(ISNUMBER(Data!X25)),0,ABS(($F27*100)-(Data!X25-$I27)*$K27)),ABS(($F27*100)-(Data!X25-$G27)*$K27))</f>
        <v>8.85057471264368</v>
      </c>
      <c r="AF27" s="64">
        <f>CHOOSE($E27,SUMPRODUCT((AF28:AF$65)*($M28:$M$65)*($C28:U$65=$B27)),IF(NOT(ISNUMBER(Data!Y25)),0,ABS(($F27*100)-(Data!Y25-$I27)*$K27)),ABS(($F27*100)-(Data!Y25-$G27)*$K27))</f>
        <v>18.9080459770115</v>
      </c>
      <c r="AG27" s="64">
        <f>CHOOSE($E27,SUMPRODUCT((AG28:AG$65)*($M28:$M$65)*($C28:V$65=$B27)),IF(NOT(ISNUMBER(Data!Z25)),0,ABS(($F27*100)-(Data!Z25-$I27)*$K27)),ABS(($F27*100)-(Data!Z25-$G27)*$K27))</f>
        <v>11.7241379310345</v>
      </c>
      <c r="AH27" s="64">
        <f>CHOOSE($E27,SUMPRODUCT((AH28:AH$65)*($M28:$M$65)*($C28:W$65=$B27)),IF(NOT(ISNUMBER(Data!AA25)),0,ABS(($F27*100)-(Data!AA25-$I27)*$K27)),ABS(($F27*100)-(Data!AA25-$G27)*$K27))</f>
        <v>11.3218390804598</v>
      </c>
      <c r="AI27" s="64">
        <f>CHOOSE($E27,SUMPRODUCT((AI28:AI$65)*($M28:$M$65)*($C28:X$65=$B27)),IF(NOT(ISNUMBER(Data!AB25)),0,ABS(($F27*100)-(Data!AB25-$I27)*$K27)),ABS(($F27*100)-(Data!AB25-$G27)*$K27))</f>
        <v>14.8850574712644</v>
      </c>
      <c r="AJ27" s="64">
        <f>CHOOSE($E27,SUMPRODUCT((AJ28:AJ$65)*($M28:$M$65)*($C28:Y$65=$B27)),IF(NOT(ISNUMBER(Data!AC25)),0,ABS(($F27*100)-(Data!AC25-$I27)*$K27)),ABS(($F27*100)-(Data!AC25-$G27)*$K27))</f>
        <v>10.7471264367816</v>
      </c>
      <c r="AK27" s="64">
        <f>CHOOSE($E27,SUMPRODUCT((AK28:AK$65)*($M28:$M$65)*($C28:Z$65=$B27)),IF(NOT(ISNUMBER(Data!AD25)),0,ABS(($F27*100)-(Data!AD25-$I27)*$K27)),ABS(($F27*100)-(Data!AD25-$G27)*$K27))</f>
        <v>1.37931034482759</v>
      </c>
      <c r="AL27" s="64">
        <f>CHOOSE($E27,SUMPRODUCT((AL28:AL$65)*($M28:$M$65)*($C28:AA$65=$B27)),IF(NOT(ISNUMBER(Data!AE25)),0,ABS(($F27*100)-(Data!AE25-$I27)*$K27)),ABS(($F27*100)-(Data!AE25-$G27)*$K27))</f>
        <v>16.0919540229885</v>
      </c>
      <c r="AM27" s="64">
        <f>CHOOSE($E27,SUMPRODUCT((AM28:AM$65)*($M28:$M$65)*($C28:AB$65=$B27)),IF(NOT(ISNUMBER(Data!AF25)),0,ABS(($F27*100)-(Data!AF25-$I27)*$K27)),ABS(($F27*100)-(Data!AF25-$G27)*$K27))</f>
        <v>0</v>
      </c>
      <c r="AN27" s="64">
        <f>CHOOSE($E27,SUMPRODUCT((AN28:AN$65)*($M28:$M$65)*($C28:AC$65=$B27)),IF(NOT(ISNUMBER(Data!AG25)),0,ABS(($F27*100)-(Data!AG25-$I27)*$K27)),ABS(($F27*100)-(Data!AG25-$G27)*$K27))</f>
        <v>3.39080459770115</v>
      </c>
      <c r="AO27" s="64">
        <f>CHOOSE($E27,SUMPRODUCT((AO28:AO$65)*($M28:$M$65)*($C28:AD$65=$B27)),IF(NOT(ISNUMBER(Data!AH25)),0,ABS(($F27*100)-(Data!AH25-$I27)*$K27)),ABS(($F27*100)-(Data!AH25-$G27)*$K27))</f>
        <v>15.7471264367816</v>
      </c>
      <c r="AP27" s="64">
        <f>CHOOSE($E27,SUMPRODUCT((AP28:AP$65)*($M28:$M$65)*($C28:AE$65=$B27)),IF(NOT(ISNUMBER(Data!AI25)),0,ABS(($F27*100)-(Data!AI25-$I27)*$K27)),ABS(($F27*100)-(Data!AI25-$G27)*$K27))</f>
        <v>27.0114942528736</v>
      </c>
      <c r="AQ27" s="64">
        <f>CHOOSE($E27,SUMPRODUCT((AQ28:AQ$65)*($M28:$M$65)*($C28:AF$65=$B27)),IF(NOT(ISNUMBER(Data!AJ25)),0,ABS(($F27*100)-(Data!AJ25-$I27)*$K27)),ABS(($F27*100)-(Data!AJ25-$G27)*$K27))</f>
        <v>7.47126436781609</v>
      </c>
      <c r="AR27" s="64">
        <f>CHOOSE($E27,SUMPRODUCT((AR28:AR$65)*($M28:$M$65)*($C28:AG$65=$B27)),IF(NOT(ISNUMBER(Data!AK25)),0,ABS(($F27*100)-(Data!AK25-$I27)*$K27)),ABS(($F27*100)-(Data!AK25-$G27)*$K27))</f>
        <v>18.3333333333333</v>
      </c>
      <c r="AS27" s="64">
        <f>CHOOSE($E27,SUMPRODUCT((AS28:AS$65)*($M28:$M$65)*($C28:AH$65=$B27)),IF(NOT(ISNUMBER(Data!AL25)),0,ABS(($F27*100)-(Data!AL25-$I27)*$K27)),ABS(($F27*100)-(Data!AL25-$G27)*$K27))</f>
        <v>100</v>
      </c>
      <c r="AT27" s="64">
        <f>CHOOSE($E27,SUMPRODUCT((AT28:AT$65)*($M28:$M$65)*($C28:AI$65=$B27)),IF(NOT(ISNUMBER(Data!AM25)),0,ABS(($F27*100)-(Data!AM25-$I27)*$K27)),ABS(($F27*100)-(Data!AM25-$G27)*$K27))</f>
        <v>0</v>
      </c>
      <c r="AU27" s="64">
        <f>CHOOSE($E27,SUMPRODUCT((AU28:AU$65)*($M28:$M$65)*($C28:AJ$65=$B27)),IF(NOT(ISNUMBER(Data!AN25)),0,ABS(($F27*100)-(Data!AN25-$I27)*$K27)),ABS(($F27*100)-(Data!AN25-$G27)*$K27))</f>
        <v>5.28735632183908</v>
      </c>
      <c r="AV27" s="64">
        <f>CHOOSE($E27,SUMPRODUCT((AV28:AV$65)*($M28:$M$65)*($C28:AK$65=$B27)),IF(NOT(ISNUMBER(Data!AO25)),0,ABS(($F27*100)-(Data!AO25-$I27)*$K27)),ABS(($F27*100)-(Data!AO25-$G27)*$K27))</f>
        <v>10.7471264367816</v>
      </c>
      <c r="AW27" s="64">
        <f>CHOOSE($E27,SUMPRODUCT((AW28:AW$65)*($M28:$M$65)*($C28:AL$65=$B27)),IF(NOT(ISNUMBER(Data!AP25)),0,ABS(($F27*100)-(Data!AP25-$I27)*$K27)),ABS(($F27*100)-(Data!AP25-$G27)*$K27))</f>
        <v>46.2068965517241</v>
      </c>
      <c r="AX27" s="64">
        <f>CHOOSE($E27,SUMPRODUCT((AX28:AX$65)*($M28:$M$65)*($C28:AM$65=$B27)),IF(NOT(ISNUMBER(Data!AQ25)),0,ABS(($F27*100)-(Data!AQ25-$I27)*$K27)),ABS(($F27*100)-(Data!AQ25-$G27)*$K27))</f>
        <v>10.9195402298851</v>
      </c>
      <c r="AY27" s="64">
        <f>CHOOSE($E27,SUMPRODUCT((AY28:AY$65)*($M28:$M$65)*($C28:AN$65=$B27)),IF(NOT(ISNUMBER(Data!AR25)),0,ABS(($F27*100)-(Data!AR25-$I27)*$K27)),ABS(($F27*100)-(Data!AR25-$G27)*$K27))</f>
        <v>11.4942528735632</v>
      </c>
      <c r="AZ27" s="64">
        <f>CHOOSE($E27,SUMPRODUCT((AZ28:AZ$65)*($M28:$M$65)*($C28:AO$65=$B27)),IF(NOT(ISNUMBER(Data!AS25)),0,ABS(($F27*100)-(Data!AS25-$I27)*$K27)),ABS(($F27*100)-(Data!AS25-$G27)*$K27))</f>
        <v>31.0344827586207</v>
      </c>
      <c r="BA27" s="64">
        <f>CHOOSE($E27,SUMPRODUCT((BA28:BA$65)*($M28:$M$65)*($C28:AP$65=$B27)),IF(NOT(ISNUMBER(Data!AT25)),0,ABS(($F27*100)-(Data!AT25-$I27)*$K27)),ABS(($F27*100)-(Data!AT25-$G27)*$K27))</f>
        <v>18.3908045977012</v>
      </c>
      <c r="BB27" s="64">
        <f>CHOOSE($E27,SUMPRODUCT((BB28:BB$65)*($M28:$M$65)*($C28:AQ$65=$B27)),IF(NOT(ISNUMBER(Data!AU25)),0,ABS(($F27*100)-(Data!AU25-$I27)*$K27)),ABS(($F27*100)-(Data!AU25-$G27)*$K27))</f>
        <v>19.4827586206897</v>
      </c>
      <c r="BC27" s="64">
        <f>CHOOSE($E27,SUMPRODUCT((BC28:BC$65)*($M28:$M$65)*($C28:AR$65=$B27)),IF(NOT(ISNUMBER(Data!AV25)),0,ABS(($F27*100)-(Data!AV25-$I27)*$K27)),ABS(($F27*100)-(Data!AV25-$G27)*$K27))</f>
        <v>21.8390804597701</v>
      </c>
      <c r="BD27" s="64">
        <f>CHOOSE($E27,SUMPRODUCT((BD28:BD$65)*($M28:$M$65)*($C28:AS$65=$B27)),IF(NOT(ISNUMBER(Data!AW25)),0,ABS(($F27*100)-(Data!AW25-$I27)*$K27)),ABS(($F27*100)-(Data!AW25-$G27)*$K27))</f>
        <v>5.91954022988506</v>
      </c>
      <c r="BE27" s="64">
        <f>CHOOSE($E27,SUMPRODUCT((BE28:BE$65)*($M28:$M$65)*($C28:AT$65=$B27)),IF(NOT(ISNUMBER(Data!AX25)),0,ABS(($F27*100)-(Data!AX25-$I27)*$K27)),ABS(($F27*100)-(Data!AX25-$G27)*$K27))</f>
        <v>14.9425287356322</v>
      </c>
      <c r="BF27" s="64">
        <f>CHOOSE($E27,SUMPRODUCT((BF28:BF$65)*($M28:$M$65)*($C28:AU$65=$B27)),IF(NOT(ISNUMBER(Data!AY25)),0,ABS(($F27*100)-(Data!AY25-$I27)*$K27)),ABS(($F27*100)-(Data!AY25-$G27)*$K27))</f>
        <v>20.6896551724138</v>
      </c>
      <c r="BG27" s="64">
        <f>CHOOSE($E27,SUMPRODUCT((BG28:BG$65)*($M28:$M$65)*($C28:AV$65=$B27)),IF(NOT(ISNUMBER(Data!AZ25)),0,ABS(($F27*100)-(Data!AZ25-$I27)*$K27)),ABS(($F27*100)-(Data!AZ25-$G27)*$K27))</f>
        <v>27.4137931034483</v>
      </c>
      <c r="BH27" s="64">
        <f>CHOOSE($E27,SUMPRODUCT((BH28:BH$65)*($M28:$M$65)*($C28:AW$65=$B27)),IF(NOT(ISNUMBER(Data!BA25)),0,ABS(($F27*100)-(Data!BA25-$I27)*$K27)),ABS(($F27*100)-(Data!BA25-$G27)*$K27))</f>
        <v>25.2873563218391</v>
      </c>
      <c r="BI27" s="64">
        <f>CHOOSE($E27,SUMPRODUCT((BI28:BI$65)*($M28:$M$65)*($C28:AX$65=$B27)),IF(NOT(ISNUMBER(Data!BB25)),0,ABS(($F27*100)-(Data!BB25-$I27)*$K27)),ABS(($F27*100)-(Data!BB25-$G27)*$K27))</f>
        <v>25</v>
      </c>
      <c r="BJ27" s="64">
        <f>CHOOSE($E27,SUMPRODUCT((BJ28:BJ$65)*($M28:$M$65)*($C28:AY$65=$B27)),IF(NOT(ISNUMBER(Data!BC25)),0,ABS(($F27*100)-(Data!BC25-$I27)*$K27)),ABS(($F27*100)-(Data!BC25-$G27)*$K27))</f>
        <v>3.67816091954023</v>
      </c>
      <c r="BK27" s="64">
        <f>CHOOSE($E27,SUMPRODUCT((BK28:BK$65)*($M28:$M$65)*($C28:AZ$65=$B27)),IF(NOT(ISNUMBER(Data!BD25)),0,ABS(($F27*100)-(Data!BD25-$I27)*$K27)),ABS(($F27*100)-(Data!BD25-$G27)*$K27))</f>
        <v>18.2758620689655</v>
      </c>
      <c r="BM27" s="65"/>
    </row>
    <row r="28" s="22" customFormat="1" spans="1:65">
      <c r="A28" s="24"/>
      <c r="B28" s="24" t="str">
        <f>tblIndicators!B21</f>
        <v>HELSEC_IP_05</v>
      </c>
      <c r="C28" s="24" t="str">
        <f>tblIndicators!C21</f>
        <v>HELSEC_IP</v>
      </c>
      <c r="D28" s="52">
        <f>tblIndicators!D21</f>
        <v>3</v>
      </c>
      <c r="E28" s="52">
        <f>tblIndicators!M21</f>
        <v>3</v>
      </c>
      <c r="F28" s="52">
        <f>tblIndicators!N21</f>
        <v>0</v>
      </c>
      <c r="G28" s="52">
        <f>tblIndicators!Q21</f>
        <v>1</v>
      </c>
      <c r="H28" s="52">
        <f>tblIndicators!R21</f>
        <v>100</v>
      </c>
      <c r="I28" s="52" t="str">
        <f>IF($E28=2,MIN(Data!G26:BD26),"")</f>
        <v/>
      </c>
      <c r="J28" s="52" t="str">
        <f>IF($E28=2,MAX(Data!G26:BD26),"")</f>
        <v/>
      </c>
      <c r="K28" s="54">
        <f t="shared" si="2"/>
        <v>1.01010101010101</v>
      </c>
      <c r="L28" s="62" t="str">
        <f>tblIndicators!Z21</f>
        <v>2.1.5) Access to safe and quality food</v>
      </c>
      <c r="M28" s="63">
        <f>tblIndicators!AC21</f>
        <v>0.166666666666667</v>
      </c>
      <c r="N28" s="64">
        <f>CHOOSE($E28,SUMPRODUCT((N29:N$65)*($M29:$M$65)*($C29:C$65=$B28)),IF(NOT(ISNUMBER(Data!G26)),0,ABS(($F28*100)-(Data!G26-$I28)*$K28)),ABS(($F28*100)-(Data!G26-$G28)*$K28))</f>
        <v>100</v>
      </c>
      <c r="O28" s="64">
        <f>CHOOSE($E28,SUMPRODUCT((O29:O$65)*($M29:$M$65)*($C29:D$65=$B28)),IF(NOT(ISNUMBER(Data!H26)),0,ABS(($F28*100)-(Data!H26-$I28)*$K28)),ABS(($F28*100)-(Data!H26-$G28)*$K28))</f>
        <v>87.3737373737374</v>
      </c>
      <c r="P28" s="64">
        <f>CHOOSE($E28,SUMPRODUCT((P29:P$65)*($M29:$M$65)*($C29:E$65=$B28)),IF(NOT(ISNUMBER(Data!I26)),0,ABS(($F28*100)-(Data!I26-$I28)*$K28)),ABS(($F28*100)-(Data!I26-$G28)*$K28))</f>
        <v>97.1717171717172</v>
      </c>
      <c r="Q28" s="64">
        <f>CHOOSE($E28,SUMPRODUCT((Q29:Q$65)*($M29:$M$65)*($C29:F$65=$B28)),IF(NOT(ISNUMBER(Data!J26)),0,ABS(($F28*100)-(Data!J26-$I28)*$K28)),ABS(($F28*100)-(Data!J26-$G28)*$K28))</f>
        <v>90.6060606060606</v>
      </c>
      <c r="R28" s="64">
        <f>CHOOSE($E28,SUMPRODUCT((R29:R$65)*($M29:$M$65)*($C29:G$65=$B28)),IF(NOT(ISNUMBER(Data!K26)),0,ABS(($F28*100)-(Data!K26-$I28)*$K28)),ABS(($F28*100)-(Data!K26-$G28)*$K28))</f>
        <v>90.6060606060606</v>
      </c>
      <c r="S28" s="64">
        <f>CHOOSE($E28,SUMPRODUCT((S29:S$65)*($M29:$M$65)*($C29:H$65=$B28)),IF(NOT(ISNUMBER(Data!L26)),0,ABS(($F28*100)-(Data!L26-$I28)*$K28)),ABS(($F28*100)-(Data!L26-$G28)*$K28))</f>
        <v>96.3636363636364</v>
      </c>
      <c r="T28" s="64">
        <f>CHOOSE($E28,SUMPRODUCT((T29:T$65)*($M29:$M$65)*($C29:I$65=$B28)),IF(NOT(ISNUMBER(Data!M26)),0,ABS(($F28*100)-(Data!M26-$I28)*$K28)),ABS(($F28*100)-(Data!M26-$G28)*$K28))</f>
        <v>96.3636363636364</v>
      </c>
      <c r="U28" s="64">
        <f>CHOOSE($E28,SUMPRODUCT((U29:U$65)*($M29:$M$65)*($C29:J$65=$B28)),IF(NOT(ISNUMBER(Data!N26)),0,ABS(($F28*100)-(Data!N26-$I28)*$K28)),ABS(($F28*100)-(Data!N26-$G28)*$K28))</f>
        <v>99.3939393939394</v>
      </c>
      <c r="V28" s="64">
        <f>CHOOSE($E28,SUMPRODUCT((V29:V$65)*($M29:$M$65)*($C29:K$65=$B28)),IF(NOT(ISNUMBER(Data!O26)),0,ABS(($F28*100)-(Data!O26-$I28)*$K28)),ABS(($F28*100)-(Data!O26-$G28)*$K28))</f>
        <v>99.3939393939394</v>
      </c>
      <c r="W28" s="64">
        <f>CHOOSE($E28,SUMPRODUCT((W29:W$65)*($M29:$M$65)*($C29:L$65=$B28)),IF(NOT(ISNUMBER(Data!P26)),0,ABS(($F28*100)-(Data!P26-$I28)*$K28)),ABS(($F28*100)-(Data!P26-$G28)*$K28))</f>
        <v>96.3636363636364</v>
      </c>
      <c r="X28" s="64">
        <f>CHOOSE($E28,SUMPRODUCT((X29:X$65)*($M29:$M$65)*($C29:M$65=$B28)),IF(NOT(ISNUMBER(Data!Q26)),0,ABS(($F28*100)-(Data!Q26-$I28)*$K28)),ABS(($F28*100)-(Data!Q26-$G28)*$K28))</f>
        <v>93.5353535353535</v>
      </c>
      <c r="Y28" s="64">
        <f>CHOOSE($E28,SUMPRODUCT((Y29:Y$65)*($M29:$M$65)*($C29:N$65=$B28)),IF(NOT(ISNUMBER(Data!R26)),0,ABS(($F28*100)-(Data!R26-$I28)*$K28)),ABS(($F28*100)-(Data!R26-$G28)*$K28))</f>
        <v>66.7676767676768</v>
      </c>
      <c r="Z28" s="64">
        <f>CHOOSE($E28,SUMPRODUCT((Z29:Z$65)*($M29:$M$65)*($C29:O$65=$B28)),IF(NOT(ISNUMBER(Data!S26)),0,ABS(($F28*100)-(Data!S26-$I28)*$K28)),ABS(($F28*100)-(Data!S26-$G28)*$K28))</f>
        <v>93.939393939394</v>
      </c>
      <c r="AA28" s="64">
        <f>CHOOSE($E28,SUMPRODUCT((AA29:AA$65)*($M29:$M$65)*($C29:P$65=$B28)),IF(NOT(ISNUMBER(Data!T26)),0,ABS(($F28*100)-(Data!T26-$I28)*$K28)),ABS(($F28*100)-(Data!T26-$G28)*$K28))</f>
        <v>96.3636363636364</v>
      </c>
      <c r="AB28" s="64">
        <f>CHOOSE($E28,SUMPRODUCT((AB29:AB$65)*($M29:$M$65)*($C29:Q$65=$B28)),IF(NOT(ISNUMBER(Data!U26)),0,ABS(($F28*100)-(Data!U26-$I28)*$K28)),ABS(($F28*100)-(Data!U26-$G28)*$K28))</f>
        <v>96.3636363636364</v>
      </c>
      <c r="AC28" s="64">
        <f>CHOOSE($E28,SUMPRODUCT((AC29:AC$65)*($M29:$M$65)*($C29:R$65=$B28)),IF(NOT(ISNUMBER(Data!V26)),0,ABS(($F28*100)-(Data!V26-$I28)*$K28)),ABS(($F28*100)-(Data!V26-$G28)*$K28))</f>
        <v>100</v>
      </c>
      <c r="AD28" s="64">
        <f>CHOOSE($E28,SUMPRODUCT((AD29:AD$65)*($M29:$M$65)*($C29:S$65=$B28)),IF(NOT(ISNUMBER(Data!W26)),0,ABS(($F28*100)-(Data!W26-$I28)*$K28)),ABS(($F28*100)-(Data!W26-$G28)*$K28))</f>
        <v>100</v>
      </c>
      <c r="AE28" s="64">
        <f>CHOOSE($E28,SUMPRODUCT((AE29:AE$65)*($M29:$M$65)*($C29:T$65=$B28)),IF(NOT(ISNUMBER(Data!X26)),0,ABS(($F28*100)-(Data!X26-$I28)*$K28)),ABS(($F28*100)-(Data!X26-$G28)*$K28))</f>
        <v>90.8080808080808</v>
      </c>
      <c r="AF28" s="64">
        <f>CHOOSE($E28,SUMPRODUCT((AF29:AF$65)*($M29:$M$65)*($C29:U$65=$B28)),IF(NOT(ISNUMBER(Data!Y26)),0,ABS(($F28*100)-(Data!Y26-$I28)*$K28)),ABS(($F28*100)-(Data!Y26-$G28)*$K28))</f>
        <v>90.8080808080808</v>
      </c>
      <c r="AG28" s="64">
        <f>CHOOSE($E28,SUMPRODUCT((AG29:AG$65)*($M29:$M$65)*($C29:V$65=$B28)),IF(NOT(ISNUMBER(Data!Z26)),0,ABS(($F28*100)-(Data!Z26-$I28)*$K28)),ABS(($F28*100)-(Data!Z26-$G28)*$K28))</f>
        <v>90.8080808080808</v>
      </c>
      <c r="AH28" s="64">
        <f>CHOOSE($E28,SUMPRODUCT((AH29:AH$65)*($M29:$M$65)*($C29:W$65=$B28)),IF(NOT(ISNUMBER(Data!AA26)),0,ABS(($F28*100)-(Data!AA26-$I28)*$K28)),ABS(($F28*100)-(Data!AA26-$G28)*$K28))</f>
        <v>90.8080808080808</v>
      </c>
      <c r="AI28" s="64">
        <f>CHOOSE($E28,SUMPRODUCT((AI29:AI$65)*($M29:$M$65)*($C29:X$65=$B28)),IF(NOT(ISNUMBER(Data!AB26)),0,ABS(($F28*100)-(Data!AB26-$I28)*$K28)),ABS(($F28*100)-(Data!AB26-$G28)*$K28))</f>
        <v>90.8080808080808</v>
      </c>
      <c r="AJ28" s="64">
        <f>CHOOSE($E28,SUMPRODUCT((AJ29:AJ$65)*($M29:$M$65)*($C29:Y$65=$B28)),IF(NOT(ISNUMBER(Data!AC26)),0,ABS(($F28*100)-(Data!AC26-$I28)*$K28)),ABS(($F28*100)-(Data!AC26-$G28)*$K28))</f>
        <v>90.8080808080808</v>
      </c>
      <c r="AK28" s="64">
        <f>CHOOSE($E28,SUMPRODUCT((AK29:AK$65)*($M29:$M$65)*($C29:Z$65=$B28)),IF(NOT(ISNUMBER(Data!AD26)),0,ABS(($F28*100)-(Data!AD26-$I28)*$K28)),ABS(($F28*100)-(Data!AD26-$G28)*$K28))</f>
        <v>81.010101010101</v>
      </c>
      <c r="AL28" s="64">
        <f>CHOOSE($E28,SUMPRODUCT((AL29:AL$65)*($M29:$M$65)*($C29:AA$65=$B28)),IF(NOT(ISNUMBER(Data!AE26)),0,ABS(($F28*100)-(Data!AE26-$I28)*$K28)),ABS(($F28*100)-(Data!AE26-$G28)*$K28))</f>
        <v>81.010101010101</v>
      </c>
      <c r="AM28" s="64">
        <f>CHOOSE($E28,SUMPRODUCT((AM29:AM$65)*($M29:$M$65)*($C29:AB$65=$B28)),IF(NOT(ISNUMBER(Data!AF26)),0,ABS(($F28*100)-(Data!AF26-$I28)*$K28)),ABS(($F28*100)-(Data!AF26-$G28)*$K28))</f>
        <v>72.4242424242424</v>
      </c>
      <c r="AN28" s="64">
        <f>CHOOSE($E28,SUMPRODUCT((AN29:AN$65)*($M29:$M$65)*($C29:AC$65=$B28)),IF(NOT(ISNUMBER(Data!AG26)),0,ABS(($F28*100)-(Data!AG26-$I28)*$K28)),ABS(($F28*100)-(Data!AG26-$G28)*$K28))</f>
        <v>74.7474747474748</v>
      </c>
      <c r="AO28" s="64">
        <f>CHOOSE($E28,SUMPRODUCT((AO29:AO$65)*($M29:$M$65)*($C29:AD$65=$B28)),IF(NOT(ISNUMBER(Data!AH26)),0,ABS(($F28*100)-(Data!AH26-$I28)*$K28)),ABS(($F28*100)-(Data!AH26-$G28)*$K28))</f>
        <v>100</v>
      </c>
      <c r="AP28" s="64">
        <f>CHOOSE($E28,SUMPRODUCT((AP29:AP$65)*($M29:$M$65)*($C29:AE$65=$B28)),IF(NOT(ISNUMBER(Data!AI26)),0,ABS(($F28*100)-(Data!AI26-$I28)*$K28)),ABS(($F28*100)-(Data!AI26-$G28)*$K28))</f>
        <v>100</v>
      </c>
      <c r="AQ28" s="64">
        <f>CHOOSE($E28,SUMPRODUCT((AQ29:AQ$65)*($M29:$M$65)*($C29:AF$65=$B28)),IF(NOT(ISNUMBER(Data!AJ26)),0,ABS(($F28*100)-(Data!AJ26-$I28)*$K28)),ABS(($F28*100)-(Data!AJ26-$G28)*$K28))</f>
        <v>100</v>
      </c>
      <c r="AR28" s="64">
        <f>CHOOSE($E28,SUMPRODUCT((AR29:AR$65)*($M29:$M$65)*($C29:AG$65=$B28)),IF(NOT(ISNUMBER(Data!AK26)),0,ABS(($F28*100)-(Data!AK26-$I28)*$K28)),ABS(($F28*100)-(Data!AK26-$G28)*$K28))</f>
        <v>92.6262626262626</v>
      </c>
      <c r="AS28" s="64">
        <f>CHOOSE($E28,SUMPRODUCT((AS29:AS$65)*($M29:$M$65)*($C29:AH$65=$B28)),IF(NOT(ISNUMBER(Data!AL26)),0,ABS(($F28*100)-(Data!AL26-$I28)*$K28)),ABS(($F28*100)-(Data!AL26-$G28)*$K28))</f>
        <v>90.8080808080808</v>
      </c>
      <c r="AT28" s="64">
        <f>CHOOSE($E28,SUMPRODUCT((AT29:AT$65)*($M29:$M$65)*($C29:AI$65=$B28)),IF(NOT(ISNUMBER(Data!AM26)),0,ABS(($F28*100)-(Data!AM26-$I28)*$K28)),ABS(($F28*100)-(Data!AM26-$G28)*$K28))</f>
        <v>97.1717171717172</v>
      </c>
      <c r="AU28" s="64">
        <f>CHOOSE($E28,SUMPRODUCT((AU29:AU$65)*($M29:$M$65)*($C29:AJ$65=$B28)),IF(NOT(ISNUMBER(Data!AN26)),0,ABS(($F28*100)-(Data!AN26-$I28)*$K28)),ABS(($F28*100)-(Data!AN26-$G28)*$K28))</f>
        <v>83.6363636363636</v>
      </c>
      <c r="AV28" s="64">
        <f>CHOOSE($E28,SUMPRODUCT((AV29:AV$65)*($M29:$M$65)*($C29:AK$65=$B28)),IF(NOT(ISNUMBER(Data!AO26)),0,ABS(($F28*100)-(Data!AO26-$I28)*$K28)),ABS(($F28*100)-(Data!AO26-$G28)*$K28))</f>
        <v>99.3939393939394</v>
      </c>
      <c r="AW28" s="64">
        <f>CHOOSE($E28,SUMPRODUCT((AW29:AW$65)*($M29:$M$65)*($C29:AL$65=$B28)),IF(NOT(ISNUMBER(Data!AP26)),0,ABS(($F28*100)-(Data!AP26-$I28)*$K28)),ABS(($F28*100)-(Data!AP26-$G28)*$K28))</f>
        <v>97.979797979798</v>
      </c>
      <c r="AX28" s="64">
        <f>CHOOSE($E28,SUMPRODUCT((AX29:AX$65)*($M29:$M$65)*($C29:AM$65=$B28)),IF(NOT(ISNUMBER(Data!AQ26)),0,ABS(($F28*100)-(Data!AQ26-$I28)*$K28)),ABS(($F28*100)-(Data!AQ26-$G28)*$K28))</f>
        <v>98.1818181818182</v>
      </c>
      <c r="AY28" s="64">
        <f>CHOOSE($E28,SUMPRODUCT((AY29:AY$65)*($M29:$M$65)*($C29:AN$65=$B28)),IF(NOT(ISNUMBER(Data!AR26)),0,ABS(($F28*100)-(Data!AR26-$I28)*$K28)),ABS(($F28*100)-(Data!AR26-$G28)*$K28))</f>
        <v>100</v>
      </c>
      <c r="AZ28" s="64">
        <f>CHOOSE($E28,SUMPRODUCT((AZ29:AZ$65)*($M29:$M$65)*($C29:AO$65=$B28)),IF(NOT(ISNUMBER(Data!AS26)),0,ABS(($F28*100)-(Data!AS26-$I28)*$K28)),ABS(($F28*100)-(Data!AS26-$G28)*$K28))</f>
        <v>100</v>
      </c>
      <c r="BA28" s="64">
        <f>CHOOSE($E28,SUMPRODUCT((BA29:BA$65)*($M29:$M$65)*($C29:AP$65=$B28)),IF(NOT(ISNUMBER(Data!AT26)),0,ABS(($F28*100)-(Data!AT26-$I28)*$K28)),ABS(($F28*100)-(Data!AT26-$G28)*$K28))</f>
        <v>100</v>
      </c>
      <c r="BB28" s="64">
        <f>CHOOSE($E28,SUMPRODUCT((BB29:BB$65)*($M29:$M$65)*($C29:AQ$65=$B28)),IF(NOT(ISNUMBER(Data!AU26)),0,ABS(($F28*100)-(Data!AU26-$I28)*$K28)),ABS(($F28*100)-(Data!AU26-$G28)*$K28))</f>
        <v>100</v>
      </c>
      <c r="BC28" s="64">
        <f>CHOOSE($E28,SUMPRODUCT((BC29:BC$65)*($M29:$M$65)*($C29:AR$65=$B28)),IF(NOT(ISNUMBER(Data!AV26)),0,ABS(($F28*100)-(Data!AV26-$I28)*$K28)),ABS(($F28*100)-(Data!AV26-$G28)*$K28))</f>
        <v>100</v>
      </c>
      <c r="BD28" s="64">
        <f>CHOOSE($E28,SUMPRODUCT((BD29:BD$65)*($M29:$M$65)*($C29:AS$65=$B28)),IF(NOT(ISNUMBER(Data!AW26)),0,ABS(($F28*100)-(Data!AW26-$I28)*$K28)),ABS(($F28*100)-(Data!AW26-$G28)*$K28))</f>
        <v>100</v>
      </c>
      <c r="BE28" s="64">
        <f>CHOOSE($E28,SUMPRODUCT((BE29:BE$65)*($M29:$M$65)*($C29:AT$65=$B28)),IF(NOT(ISNUMBER(Data!AX26)),0,ABS(($F28*100)-(Data!AX26-$I28)*$K28)),ABS(($F28*100)-(Data!AX26-$G28)*$K28))</f>
        <v>100</v>
      </c>
      <c r="BF28" s="64">
        <f>CHOOSE($E28,SUMPRODUCT((BF29:BF$65)*($M29:$M$65)*($C29:AU$65=$B28)),IF(NOT(ISNUMBER(Data!AY26)),0,ABS(($F28*100)-(Data!AY26-$I28)*$K28)),ABS(($F28*100)-(Data!AY26-$G28)*$K28))</f>
        <v>95.2525252525253</v>
      </c>
      <c r="BG28" s="64">
        <f>CHOOSE($E28,SUMPRODUCT((BG29:BG$65)*($M29:$M$65)*($C29:AV$65=$B28)),IF(NOT(ISNUMBER(Data!AZ26)),0,ABS(($F28*100)-(Data!AZ26-$I28)*$K28)),ABS(($F28*100)-(Data!AZ26-$G28)*$K28))</f>
        <v>100</v>
      </c>
      <c r="BH28" s="64">
        <f>CHOOSE($E28,SUMPRODUCT((BH29:BH$65)*($M29:$M$65)*($C29:AW$65=$B28)),IF(NOT(ISNUMBER(Data!BA26)),0,ABS(($F28*100)-(Data!BA26-$I28)*$K28)),ABS(($F28*100)-(Data!BA26-$G28)*$K28))</f>
        <v>100</v>
      </c>
      <c r="BI28" s="64">
        <f>CHOOSE($E28,SUMPRODUCT((BI29:BI$65)*($M29:$M$65)*($C29:AX$65=$B28)),IF(NOT(ISNUMBER(Data!BB26)),0,ABS(($F28*100)-(Data!BB26-$I28)*$K28)),ABS(($F28*100)-(Data!BB26-$G28)*$K28))</f>
        <v>100</v>
      </c>
      <c r="BJ28" s="64">
        <f>CHOOSE($E28,SUMPRODUCT((BJ29:BJ$65)*($M29:$M$65)*($C29:AY$65=$B28)),IF(NOT(ISNUMBER(Data!BC26)),0,ABS(($F28*100)-(Data!BC26-$I28)*$K28)),ABS(($F28*100)-(Data!BC26-$G28)*$K28))</f>
        <v>99.4949494949495</v>
      </c>
      <c r="BK28" s="64">
        <f>CHOOSE($E28,SUMPRODUCT((BK29:BK$65)*($M29:$M$65)*($C29:AZ$65=$B28)),IF(NOT(ISNUMBER(Data!BD26)),0,ABS(($F28*100)-(Data!BD26-$I28)*$K28)),ABS(($F28*100)-(Data!BD26-$G28)*$K28))</f>
        <v>100</v>
      </c>
      <c r="BM28" s="65"/>
    </row>
    <row r="29" s="22" customFormat="1" spans="1:65">
      <c r="A29" s="24"/>
      <c r="B29" s="24" t="str">
        <f>tblIndicators!B22</f>
        <v>HELSEC_IP_06</v>
      </c>
      <c r="C29" s="24" t="str">
        <f>tblIndicators!C22</f>
        <v>HELSEC_IP</v>
      </c>
      <c r="D29" s="52">
        <f>tblIndicators!D22</f>
        <v>3</v>
      </c>
      <c r="E29" s="52">
        <f>tblIndicators!M22</f>
        <v>3</v>
      </c>
      <c r="F29" s="52">
        <f>tblIndicators!N22</f>
        <v>1</v>
      </c>
      <c r="G29" s="52">
        <f>tblIndicators!Q22</f>
        <v>1</v>
      </c>
      <c r="H29" s="52">
        <f>tblIndicators!R22</f>
        <v>5</v>
      </c>
      <c r="I29" s="52" t="str">
        <f>IF($E29=2,MIN(Data!G27:BD27),"")</f>
        <v/>
      </c>
      <c r="J29" s="52" t="str">
        <f>IF($E29=2,MAX(Data!G27:BD27),"")</f>
        <v/>
      </c>
      <c r="K29" s="54">
        <f t="shared" si="2"/>
        <v>25</v>
      </c>
      <c r="L29" s="62" t="str">
        <f>tblIndicators!Z22</f>
        <v>2.1.6) Quality of health services</v>
      </c>
      <c r="M29" s="63">
        <f>tblIndicators!AC22</f>
        <v>0.166666666666667</v>
      </c>
      <c r="N29" s="64">
        <f>CHOOSE($E29,SUMPRODUCT((N30:N$65)*($M30:$M$65)*($C30:C$65=$B29)),IF(NOT(ISNUMBER(Data!G27)),0,ABS(($F29*100)-(Data!G27-$I29)*$K29)),ABS(($F29*100)-(Data!G27-$G29)*$K29))</f>
        <v>100</v>
      </c>
      <c r="O29" s="64">
        <f>CHOOSE($E29,SUMPRODUCT((O30:O$65)*($M30:$M$65)*($C30:D$65=$B29)),IF(NOT(ISNUMBER(Data!H27)),0,ABS(($F29*100)-(Data!H27-$I29)*$K29)),ABS(($F29*100)-(Data!H27-$G29)*$K29))</f>
        <v>50</v>
      </c>
      <c r="P29" s="64">
        <f>CHOOSE($E29,SUMPRODUCT((P30:P$65)*($M30:$M$65)*($C30:E$65=$B29)),IF(NOT(ISNUMBER(Data!I27)),0,ABS(($F29*100)-(Data!I27-$I29)*$K29)),ABS(($F29*100)-(Data!I27-$G29)*$K29))</f>
        <v>75</v>
      </c>
      <c r="Q29" s="64">
        <f>CHOOSE($E29,SUMPRODUCT((Q30:Q$65)*($M30:$M$65)*($C30:F$65=$B29)),IF(NOT(ISNUMBER(Data!J27)),0,ABS(($F29*100)-(Data!J27-$I29)*$K29)),ABS(($F29*100)-(Data!J27-$G29)*$K29))</f>
        <v>62.5</v>
      </c>
      <c r="R29" s="64">
        <f>CHOOSE($E29,SUMPRODUCT((R30:R$65)*($M30:$M$65)*($C30:G$65=$B29)),IF(NOT(ISNUMBER(Data!K27)),0,ABS(($F29*100)-(Data!K27-$I29)*$K29)),ABS(($F29*100)-(Data!K27-$G29)*$K29))</f>
        <v>62.5</v>
      </c>
      <c r="S29" s="64">
        <f>CHOOSE($E29,SUMPRODUCT((S30:S$65)*($M30:$M$65)*($C30:H$65=$B29)),IF(NOT(ISNUMBER(Data!L27)),0,ABS(($F29*100)-(Data!L27-$I29)*$K29)),ABS(($F29*100)-(Data!L27-$G29)*$K29))</f>
        <v>87.5</v>
      </c>
      <c r="T29" s="64">
        <f>CHOOSE($E29,SUMPRODUCT((T30:T$65)*($M30:$M$65)*($C30:I$65=$B29)),IF(NOT(ISNUMBER(Data!M27)),0,ABS(($F29*100)-(Data!M27-$I29)*$K29)),ABS(($F29*100)-(Data!M27-$G29)*$K29))</f>
        <v>87.5</v>
      </c>
      <c r="U29" s="64">
        <f>CHOOSE($E29,SUMPRODUCT((U30:U$65)*($M30:$M$65)*($C30:J$65=$B29)),IF(NOT(ISNUMBER(Data!N27)),0,ABS(($F29*100)-(Data!N27-$I29)*$K29)),ABS(($F29*100)-(Data!N27-$G29)*$K29))</f>
        <v>100</v>
      </c>
      <c r="V29" s="64">
        <f>CHOOSE($E29,SUMPRODUCT((V30:V$65)*($M30:$M$65)*($C30:K$65=$B29)),IF(NOT(ISNUMBER(Data!O27)),0,ABS(($F29*100)-(Data!O27-$I29)*$K29)),ABS(($F29*100)-(Data!O27-$G29)*$K29))</f>
        <v>100</v>
      </c>
      <c r="W29" s="64">
        <f>CHOOSE($E29,SUMPRODUCT((W30:W$65)*($M30:$M$65)*($C30:L$65=$B29)),IF(NOT(ISNUMBER(Data!P27)),0,ABS(($F29*100)-(Data!P27-$I29)*$K29)),ABS(($F29*100)-(Data!P27-$G29)*$K29))</f>
        <v>87.5</v>
      </c>
      <c r="X29" s="64">
        <f>CHOOSE($E29,SUMPRODUCT((X30:X$65)*($M30:$M$65)*($C30:M$65=$B29)),IF(NOT(ISNUMBER(Data!Q27)),0,ABS(($F29*100)-(Data!Q27-$I29)*$K29)),ABS(($F29*100)-(Data!Q27-$G29)*$K29))</f>
        <v>50</v>
      </c>
      <c r="Y29" s="64">
        <f>CHOOSE($E29,SUMPRODUCT((Y30:Y$65)*($M30:$M$65)*($C30:N$65=$B29)),IF(NOT(ISNUMBER(Data!R27)),0,ABS(($F29*100)-(Data!R27-$I29)*$K29)),ABS(($F29*100)-(Data!R27-$G29)*$K29))</f>
        <v>62.5</v>
      </c>
      <c r="Z29" s="64">
        <f>CHOOSE($E29,SUMPRODUCT((Z30:Z$65)*($M30:$M$65)*($C30:O$65=$B29)),IF(NOT(ISNUMBER(Data!S27)),0,ABS(($F29*100)-(Data!S27-$I29)*$K29)),ABS(($F29*100)-(Data!S27-$G29)*$K29))</f>
        <v>62.5</v>
      </c>
      <c r="AA29" s="64">
        <f>CHOOSE($E29,SUMPRODUCT((AA30:AA$65)*($M30:$M$65)*($C30:P$65=$B29)),IF(NOT(ISNUMBER(Data!T27)),0,ABS(($F29*100)-(Data!T27-$I29)*$K29)),ABS(($F29*100)-(Data!T27-$G29)*$K29))</f>
        <v>87.5</v>
      </c>
      <c r="AB29" s="64">
        <f>CHOOSE($E29,SUMPRODUCT((AB30:AB$65)*($M30:$M$65)*($C30:Q$65=$B29)),IF(NOT(ISNUMBER(Data!U27)),0,ABS(($F29*100)-(Data!U27-$I29)*$K29)),ABS(($F29*100)-(Data!U27-$G29)*$K29))</f>
        <v>87.5</v>
      </c>
      <c r="AC29" s="64">
        <f>CHOOSE($E29,SUMPRODUCT((AC30:AC$65)*($M30:$M$65)*($C30:R$65=$B29)),IF(NOT(ISNUMBER(Data!V27)),0,ABS(($F29*100)-(Data!V27-$I29)*$K29)),ABS(($F29*100)-(Data!V27-$G29)*$K29))</f>
        <v>100</v>
      </c>
      <c r="AD29" s="64">
        <f>CHOOSE($E29,SUMPRODUCT((AD30:AD$65)*($M30:$M$65)*($C30:S$65=$B29)),IF(NOT(ISNUMBER(Data!W27)),0,ABS(($F29*100)-(Data!W27-$I29)*$K29)),ABS(($F29*100)-(Data!W27-$G29)*$K29))</f>
        <v>100</v>
      </c>
      <c r="AE29" s="64">
        <f>CHOOSE($E29,SUMPRODUCT((AE30:AE$65)*($M30:$M$65)*($C30:T$65=$B29)),IF(NOT(ISNUMBER(Data!X27)),0,ABS(($F29*100)-(Data!X27-$I29)*$K29)),ABS(($F29*100)-(Data!X27-$G29)*$K29))</f>
        <v>87.5</v>
      </c>
      <c r="AF29" s="64">
        <f>CHOOSE($E29,SUMPRODUCT((AF30:AF$65)*($M30:$M$65)*($C30:U$65=$B29)),IF(NOT(ISNUMBER(Data!Y27)),0,ABS(($F29*100)-(Data!Y27-$I29)*$K29)),ABS(($F29*100)-(Data!Y27-$G29)*$K29))</f>
        <v>62.5</v>
      </c>
      <c r="AG29" s="64">
        <f>CHOOSE($E29,SUMPRODUCT((AG30:AG$65)*($M30:$M$65)*($C30:V$65=$B29)),IF(NOT(ISNUMBER(Data!Z27)),0,ABS(($F29*100)-(Data!Z27-$I29)*$K29)),ABS(($F29*100)-(Data!Z27-$G29)*$K29))</f>
        <v>62.5</v>
      </c>
      <c r="AH29" s="64">
        <f>CHOOSE($E29,SUMPRODUCT((AH30:AH$65)*($M30:$M$65)*($C30:W$65=$B29)),IF(NOT(ISNUMBER(Data!AA27)),0,ABS(($F29*100)-(Data!AA27-$I29)*$K29)),ABS(($F29*100)-(Data!AA27-$G29)*$K29))</f>
        <v>62.5</v>
      </c>
      <c r="AI29" s="64">
        <f>CHOOSE($E29,SUMPRODUCT((AI30:AI$65)*($M30:$M$65)*($C30:X$65=$B29)),IF(NOT(ISNUMBER(Data!AB27)),0,ABS(($F29*100)-(Data!AB27-$I29)*$K29)),ABS(($F29*100)-(Data!AB27-$G29)*$K29))</f>
        <v>62.5</v>
      </c>
      <c r="AJ29" s="64">
        <f>CHOOSE($E29,SUMPRODUCT((AJ30:AJ$65)*($M30:$M$65)*($C30:Y$65=$B29)),IF(NOT(ISNUMBER(Data!AC27)),0,ABS(($F29*100)-(Data!AC27-$I29)*$K29)),ABS(($F29*100)-(Data!AC27-$G29)*$K29))</f>
        <v>62.5</v>
      </c>
      <c r="AK29" s="64">
        <f>CHOOSE($E29,SUMPRODUCT((AK30:AK$65)*($M30:$M$65)*($C30:Z$65=$B29)),IF(NOT(ISNUMBER(Data!AD27)),0,ABS(($F29*100)-(Data!AD27-$I29)*$K29)),ABS(($F29*100)-(Data!AD27-$G29)*$K29))</f>
        <v>37.5</v>
      </c>
      <c r="AL29" s="64">
        <f>CHOOSE($E29,SUMPRODUCT((AL30:AL$65)*($M30:$M$65)*($C30:AA$65=$B29)),IF(NOT(ISNUMBER(Data!AE27)),0,ABS(($F29*100)-(Data!AE27-$I29)*$K29)),ABS(($F29*100)-(Data!AE27-$G29)*$K29))</f>
        <v>62.5</v>
      </c>
      <c r="AM29" s="64">
        <f>CHOOSE($E29,SUMPRODUCT((AM30:AM$65)*($M30:$M$65)*($C30:AB$65=$B29)),IF(NOT(ISNUMBER(Data!AF27)),0,ABS(($F29*100)-(Data!AF27-$I29)*$K29)),ABS(($F29*100)-(Data!AF27-$G29)*$K29))</f>
        <v>37.5</v>
      </c>
      <c r="AN29" s="64">
        <f>CHOOSE($E29,SUMPRODUCT((AN30:AN$65)*($M30:$M$65)*($C30:AC$65=$B29)),IF(NOT(ISNUMBER(Data!AG27)),0,ABS(($F29*100)-(Data!AG27-$I29)*$K29)),ABS(($F29*100)-(Data!AG27-$G29)*$K29))</f>
        <v>62.5</v>
      </c>
      <c r="AO29" s="64">
        <f>CHOOSE($E29,SUMPRODUCT((AO30:AO$65)*($M30:$M$65)*($C30:AD$65=$B29)),IF(NOT(ISNUMBER(Data!AH27)),0,ABS(($F29*100)-(Data!AH27-$I29)*$K29)),ABS(($F29*100)-(Data!AH27-$G29)*$K29))</f>
        <v>100</v>
      </c>
      <c r="AP29" s="64">
        <f>CHOOSE($E29,SUMPRODUCT((AP30:AP$65)*($M30:$M$65)*($C30:AE$65=$B29)),IF(NOT(ISNUMBER(Data!AI27)),0,ABS(($F29*100)-(Data!AI27-$I29)*$K29)),ABS(($F29*100)-(Data!AI27-$G29)*$K29))</f>
        <v>100</v>
      </c>
      <c r="AQ29" s="64">
        <f>CHOOSE($E29,SUMPRODUCT((AQ30:AQ$65)*($M30:$M$65)*($C30:AF$65=$B29)),IF(NOT(ISNUMBER(Data!AJ27)),0,ABS(($F29*100)-(Data!AJ27-$I29)*$K29)),ABS(($F29*100)-(Data!AJ27-$G29)*$K29))</f>
        <v>100</v>
      </c>
      <c r="AR29" s="64">
        <f>CHOOSE($E29,SUMPRODUCT((AR30:AR$65)*($M30:$M$65)*($C30:AG$65=$B29)),IF(NOT(ISNUMBER(Data!AK27)),0,ABS(($F29*100)-(Data!AK27-$I29)*$K29)),ABS(($F29*100)-(Data!AK27-$G29)*$K29))</f>
        <v>87.5</v>
      </c>
      <c r="AS29" s="64">
        <f>CHOOSE($E29,SUMPRODUCT((AS30:AS$65)*($M30:$M$65)*($C30:AH$65=$B29)),IF(NOT(ISNUMBER(Data!AL27)),0,ABS(($F29*100)-(Data!AL27-$I29)*$K29)),ABS(($F29*100)-(Data!AL27-$G29)*$K29))</f>
        <v>87.5</v>
      </c>
      <c r="AT29" s="64">
        <f>CHOOSE($E29,SUMPRODUCT((AT30:AT$65)*($M30:$M$65)*($C30:AI$65=$B29)),IF(NOT(ISNUMBER(Data!AM27)),0,ABS(($F29*100)-(Data!AM27-$I29)*$K29)),ABS(($F29*100)-(Data!AM27-$G29)*$K29))</f>
        <v>62.5</v>
      </c>
      <c r="AU29" s="64">
        <f>CHOOSE($E29,SUMPRODUCT((AU30:AU$65)*($M30:$M$65)*($C30:AJ$65=$B29)),IF(NOT(ISNUMBER(Data!AN27)),0,ABS(($F29*100)-(Data!AN27-$I29)*$K29)),ABS(($F29*100)-(Data!AN27-$G29)*$K29))</f>
        <v>37.5</v>
      </c>
      <c r="AV29" s="64">
        <f>CHOOSE($E29,SUMPRODUCT((AV30:AV$65)*($M30:$M$65)*($C30:AK$65=$B29)),IF(NOT(ISNUMBER(Data!AO27)),0,ABS(($F29*100)-(Data!AO27-$I29)*$K29)),ABS(($F29*100)-(Data!AO27-$G29)*$K29))</f>
        <v>87.5</v>
      </c>
      <c r="AW29" s="64">
        <f>CHOOSE($E29,SUMPRODUCT((AW30:AW$65)*($M30:$M$65)*($C30:AL$65=$B29)),IF(NOT(ISNUMBER(Data!AP27)),0,ABS(($F29*100)-(Data!AP27-$I29)*$K29)),ABS(($F29*100)-(Data!AP27-$G29)*$K29))</f>
        <v>75</v>
      </c>
      <c r="AX29" s="64">
        <f>CHOOSE($E29,SUMPRODUCT((AX30:AX$65)*($M30:$M$65)*($C30:AM$65=$B29)),IF(NOT(ISNUMBER(Data!AQ27)),0,ABS(($F29*100)-(Data!AQ27-$I29)*$K29)),ABS(($F29*100)-(Data!AQ27-$G29)*$K29))</f>
        <v>62.5</v>
      </c>
      <c r="AY29" s="64">
        <f>CHOOSE($E29,SUMPRODUCT((AY30:AY$65)*($M30:$M$65)*($C30:AN$65=$B29)),IF(NOT(ISNUMBER(Data!AR27)),0,ABS(($F29*100)-(Data!AR27-$I29)*$K29)),ABS(($F29*100)-(Data!AR27-$G29)*$K29))</f>
        <v>75</v>
      </c>
      <c r="AZ29" s="64">
        <f>CHOOSE($E29,SUMPRODUCT((AZ30:AZ$65)*($M30:$M$65)*($C30:AO$65=$B29)),IF(NOT(ISNUMBER(Data!AS27)),0,ABS(($F29*100)-(Data!AS27-$I29)*$K29)),ABS(($F29*100)-(Data!AS27-$G29)*$K29))</f>
        <v>100</v>
      </c>
      <c r="BA29" s="64">
        <f>CHOOSE($E29,SUMPRODUCT((BA30:BA$65)*($M30:$M$65)*($C30:AP$65=$B29)),IF(NOT(ISNUMBER(Data!AT27)),0,ABS(($F29*100)-(Data!AT27-$I29)*$K29)),ABS(($F29*100)-(Data!AT27-$G29)*$K29))</f>
        <v>100</v>
      </c>
      <c r="BB29" s="64">
        <f>CHOOSE($E29,SUMPRODUCT((BB30:BB$65)*($M30:$M$65)*($C30:AQ$65=$B29)),IF(NOT(ISNUMBER(Data!AU27)),0,ABS(($F29*100)-(Data!AU27-$I29)*$K29)),ABS(($F29*100)-(Data!AU27-$G29)*$K29))</f>
        <v>100</v>
      </c>
      <c r="BC29" s="64">
        <f>CHOOSE($E29,SUMPRODUCT((BC30:BC$65)*($M30:$M$65)*($C30:AR$65=$B29)),IF(NOT(ISNUMBER(Data!AV27)),0,ABS(($F29*100)-(Data!AV27-$I29)*$K29)),ABS(($F29*100)-(Data!AV27-$G29)*$K29))</f>
        <v>75</v>
      </c>
      <c r="BD29" s="64">
        <f>CHOOSE($E29,SUMPRODUCT((BD30:BD$65)*($M30:$M$65)*($C30:AS$65=$B29)),IF(NOT(ISNUMBER(Data!AW27)),0,ABS(($F29*100)-(Data!AW27-$I29)*$K29)),ABS(($F29*100)-(Data!AW27-$G29)*$K29))</f>
        <v>75</v>
      </c>
      <c r="BE29" s="64">
        <f>CHOOSE($E29,SUMPRODUCT((BE30:BE$65)*($M30:$M$65)*($C30:AT$65=$B29)),IF(NOT(ISNUMBER(Data!AX27)),0,ABS(($F29*100)-(Data!AX27-$I29)*$K29)),ABS(($F29*100)-(Data!AX27-$G29)*$K29))</f>
        <v>100</v>
      </c>
      <c r="BF29" s="64">
        <f>CHOOSE($E29,SUMPRODUCT((BF30:BF$65)*($M30:$M$65)*($C30:AU$65=$B29)),IF(NOT(ISNUMBER(Data!AY27)),0,ABS(($F29*100)-(Data!AY27-$I29)*$K29)),ABS(($F29*100)-(Data!AY27-$G29)*$K29))</f>
        <v>75</v>
      </c>
      <c r="BG29" s="64">
        <f>CHOOSE($E29,SUMPRODUCT((BG30:BG$65)*($M30:$M$65)*($C30:AV$65=$B29)),IF(NOT(ISNUMBER(Data!AZ27)),0,ABS(($F29*100)-(Data!AZ27-$I29)*$K29)),ABS(($F29*100)-(Data!AZ27-$G29)*$K29))</f>
        <v>87.5</v>
      </c>
      <c r="BH29" s="64">
        <f>CHOOSE($E29,SUMPRODUCT((BH30:BH$65)*($M30:$M$65)*($C30:AW$65=$B29)),IF(NOT(ISNUMBER(Data!BA27)),0,ABS(($F29*100)-(Data!BA27-$I29)*$K29)),ABS(($F29*100)-(Data!BA27-$G29)*$K29))</f>
        <v>100</v>
      </c>
      <c r="BI29" s="64">
        <f>CHOOSE($E29,SUMPRODUCT((BI30:BI$65)*($M30:$M$65)*($C30:AX$65=$B29)),IF(NOT(ISNUMBER(Data!BB27)),0,ABS(($F29*100)-(Data!BB27-$I29)*$K29)),ABS(($F29*100)-(Data!BB27-$G29)*$K29))</f>
        <v>100</v>
      </c>
      <c r="BJ29" s="64">
        <f>CHOOSE($E29,SUMPRODUCT((BJ30:BJ$65)*($M30:$M$65)*($C30:AY$65=$B29)),IF(NOT(ISNUMBER(Data!BC27)),0,ABS(($F29*100)-(Data!BC27-$I29)*$K29)),ABS(($F29*100)-(Data!BC27-$G29)*$K29))</f>
        <v>50</v>
      </c>
      <c r="BK29" s="64">
        <f>CHOOSE($E29,SUMPRODUCT((BK30:BK$65)*($M30:$M$65)*($C30:AZ$65=$B29)),IF(NOT(ISNUMBER(Data!BD27)),0,ABS(($F29*100)-(Data!BD27-$I29)*$K29)),ABS(($F29*100)-(Data!BD27-$G29)*$K29))</f>
        <v>87.5</v>
      </c>
      <c r="BM29" s="65"/>
    </row>
    <row r="30" s="21" customFormat="1" spans="1:65">
      <c r="A30" s="30"/>
      <c r="B30" s="30" t="str">
        <f>tblIndicators!B23</f>
        <v>HELSEC_OP</v>
      </c>
      <c r="C30" s="30" t="str">
        <f>tblIndicators!C23</f>
        <v>HELSEC</v>
      </c>
      <c r="D30" s="53">
        <f>tblIndicators!D23</f>
        <v>2</v>
      </c>
      <c r="E30" s="53">
        <f>tblIndicators!M23</f>
        <v>1</v>
      </c>
      <c r="F30" s="53">
        <f>tblIndicators!N23</f>
        <v>0</v>
      </c>
      <c r="G30" s="53">
        <f>tblIndicators!Q23</f>
        <v>0</v>
      </c>
      <c r="H30" s="53">
        <f>tblIndicators!R23</f>
        <v>0</v>
      </c>
      <c r="I30" s="52" t="str">
        <f>IF($E30=2,MIN(Data!G28:BD28),"")</f>
        <v/>
      </c>
      <c r="J30" s="52" t="str">
        <f>IF($E30=2,MAX(Data!G28:BD28),"")</f>
        <v/>
      </c>
      <c r="K30" s="58" t="str">
        <f t="shared" si="2"/>
        <v/>
      </c>
      <c r="L30" s="59" t="str">
        <f>tblIndicators!Z23</f>
        <v>2.2) Health Security (Outputs)</v>
      </c>
      <c r="M30" s="60">
        <f>tblIndicators!AC23</f>
        <v>0.5</v>
      </c>
      <c r="N30" s="61">
        <f>CHOOSE($E30,SUMPRODUCT((N31:N$65)*($M31:$M$65)*($C31:C$65=$B30)),IF(NOT(ISNUMBER(Data!G28)),0,ABS(($F30*100)-(Data!G28-$I30)*$K30)),ABS(($F30*100)-(Data!G28-$G30)*$K30))</f>
        <v>80.9228432703108</v>
      </c>
      <c r="O30" s="61">
        <f>CHOOSE($E30,SUMPRODUCT((O31:O$65)*($M31:$M$65)*($C31:D$65=$B30)),IF(NOT(ISNUMBER(Data!H28)),0,ABS(($F30*100)-(Data!H28-$I30)*$K30)),ABS(($F30*100)-(Data!H28-$G30)*$K30))</f>
        <v>56.3554628557827</v>
      </c>
      <c r="P30" s="61">
        <f>CHOOSE($E30,SUMPRODUCT((P31:P$65)*($M31:$M$65)*($C31:E$65=$B30)),IF(NOT(ISNUMBER(Data!I28)),0,ABS(($F30*100)-(Data!I28-$I30)*$K30)),ABS(($F30*100)-(Data!I28-$G30)*$K30))</f>
        <v>68.8753587576285</v>
      </c>
      <c r="Q30" s="61">
        <f>CHOOSE($E30,SUMPRODUCT((Q31:Q$65)*($M31:$M$65)*($C31:F$65=$B30)),IF(NOT(ISNUMBER(Data!J28)),0,ABS(($F30*100)-(Data!J28-$I30)*$K30)),ABS(($F30*100)-(Data!J28-$G30)*$K30))</f>
        <v>68.5768701177416</v>
      </c>
      <c r="R30" s="61">
        <f>CHOOSE($E30,SUMPRODUCT((R31:R$65)*($M31:$M$65)*($C31:G$65=$B30)),IF(NOT(ISNUMBER(Data!K28)),0,ABS(($F30*100)-(Data!K28-$I30)*$K30)),ABS(($F30*100)-(Data!K28-$G30)*$K30))</f>
        <v>58.7187109576096</v>
      </c>
      <c r="S30" s="61">
        <f>CHOOSE($E30,SUMPRODUCT((S31:S$65)*($M31:$M$65)*($C31:H$65=$B30)),IF(NOT(ISNUMBER(Data!L28)),0,ABS(($F30*100)-(Data!L28-$I30)*$K30)),ABS(($F30*100)-(Data!L28-$G30)*$K30))</f>
        <v>68.735613889247</v>
      </c>
      <c r="T30" s="61">
        <f>CHOOSE($E30,SUMPRODUCT((T31:T$65)*($M31:$M$65)*($C31:I$65=$B30)),IF(NOT(ISNUMBER(Data!M28)),0,ABS(($F30*100)-(Data!M28-$I30)*$K30)),ABS(($F30*100)-(Data!M28-$G30)*$K30))</f>
        <v>81.8424879569353</v>
      </c>
      <c r="U30" s="61">
        <f>CHOOSE($E30,SUMPRODUCT((U31:U$65)*($M31:$M$65)*($C31:J$65=$B30)),IF(NOT(ISNUMBER(Data!N28)),0,ABS(($F30*100)-(Data!N28-$I30)*$K30)),ABS(($F30*100)-(Data!N28-$G30)*$K30))</f>
        <v>81.2881667128416</v>
      </c>
      <c r="V30" s="61">
        <f>CHOOSE($E30,SUMPRODUCT((V31:V$65)*($M31:$M$65)*($C31:K$65=$B30)),IF(NOT(ISNUMBER(Data!O28)),0,ABS(($F30*100)-(Data!O28-$I30)*$K30)),ABS(($F30*100)-(Data!O28-$G30)*$K30))</f>
        <v>73.8914769875642</v>
      </c>
      <c r="W30" s="61">
        <f>CHOOSE($E30,SUMPRODUCT((W31:W$65)*($M31:$M$65)*($C31:L$65=$B30)),IF(NOT(ISNUMBER(Data!P28)),0,ABS(($F30*100)-(Data!P28-$I30)*$K30)),ABS(($F30*100)-(Data!P28-$G30)*$K30))</f>
        <v>75.4955670798115</v>
      </c>
      <c r="X30" s="61">
        <f>CHOOSE($E30,SUMPRODUCT((X31:X$65)*($M31:$M$65)*($C31:M$65=$B30)),IF(NOT(ISNUMBER(Data!Q28)),0,ABS(($F30*100)-(Data!Q28-$I30)*$K30)),ABS(($F30*100)-(Data!Q28-$G30)*$K30))</f>
        <v>69.1058407436505</v>
      </c>
      <c r="Y30" s="61">
        <f>CHOOSE($E30,SUMPRODUCT((Y31:Y$65)*($M31:$M$65)*($C31:N$65=$B30)),IF(NOT(ISNUMBER(Data!R28)),0,ABS(($F30*100)-(Data!R28-$I30)*$K30)),ABS(($F30*100)-(Data!R28-$G30)*$K30))</f>
        <v>65.9776714523544</v>
      </c>
      <c r="Z30" s="61">
        <f>CHOOSE($E30,SUMPRODUCT((Z31:Z$65)*($M31:$M$65)*($C31:O$65=$B30)),IF(NOT(ISNUMBER(Data!S28)),0,ABS(($F30*100)-(Data!S28-$I30)*$K30)),ABS(($F30*100)-(Data!S28-$G30)*$K30))</f>
        <v>79.9509354561795</v>
      </c>
      <c r="AA30" s="61">
        <f>CHOOSE($E30,SUMPRODUCT((AA31:AA$65)*($M31:$M$65)*($C31:P$65=$B30)),IF(NOT(ISNUMBER(Data!T28)),0,ABS(($F30*100)-(Data!T28-$I30)*$K30)),ABS(($F30*100)-(Data!T28-$G30)*$K30))</f>
        <v>89.2669449255359</v>
      </c>
      <c r="AB30" s="61">
        <f>CHOOSE($E30,SUMPRODUCT((AB31:AB$65)*($M31:$M$65)*($C31:Q$65=$B30)),IF(NOT(ISNUMBER(Data!U28)),0,ABS(($F30*100)-(Data!U28-$I30)*$K30)),ABS(($F30*100)-(Data!U28-$G30)*$K30))</f>
        <v>71.3626426401801</v>
      </c>
      <c r="AC30" s="61">
        <f>CHOOSE($E30,SUMPRODUCT((AC31:AC$65)*($M31:$M$65)*($C31:R$65=$B30)),IF(NOT(ISNUMBER(Data!V28)),0,ABS(($F30*100)-(Data!V28-$I30)*$K30)),ABS(($F30*100)-(Data!V28-$G30)*$K30))</f>
        <v>82.3515973837753</v>
      </c>
      <c r="AD30" s="61">
        <f>CHOOSE($E30,SUMPRODUCT((AD31:AD$65)*($M31:$M$65)*($C31:S$65=$B30)),IF(NOT(ISNUMBER(Data!W28)),0,ABS(($F30*100)-(Data!W28-$I30)*$K30)),ABS(($F30*100)-(Data!W28-$G30)*$K30))</f>
        <v>82.0703088863636</v>
      </c>
      <c r="AE30" s="61">
        <f>CHOOSE($E30,SUMPRODUCT((AE31:AE$65)*($M31:$M$65)*($C31:T$65=$B30)),IF(NOT(ISNUMBER(Data!X28)),0,ABS(($F30*100)-(Data!X28-$I30)*$K30)),ABS(($F30*100)-(Data!X28-$G30)*$K30))</f>
        <v>81.7057087812482</v>
      </c>
      <c r="AF30" s="61">
        <f>CHOOSE($E30,SUMPRODUCT((AF31:AF$65)*($M31:$M$65)*($C31:U$65=$B30)),IF(NOT(ISNUMBER(Data!Y28)),0,ABS(($F30*100)-(Data!Y28-$I30)*$K30)),ABS(($F30*100)-(Data!Y28-$G30)*$K30))</f>
        <v>72.822136639898</v>
      </c>
      <c r="AG30" s="61">
        <f>CHOOSE($E30,SUMPRODUCT((AG31:AG$65)*($M31:$M$65)*($C31:V$65=$B30)),IF(NOT(ISNUMBER(Data!Z28)),0,ABS(($F30*100)-(Data!Z28-$I30)*$K30)),ABS(($F30*100)-(Data!Z28-$G30)*$K30))</f>
        <v>72.1026123919147</v>
      </c>
      <c r="AH30" s="61">
        <f>CHOOSE($E30,SUMPRODUCT((AH31:AH$65)*($M31:$M$65)*($C31:W$65=$B30)),IF(NOT(ISNUMBER(Data!AA28)),0,ABS(($F30*100)-(Data!AA28-$I30)*$K30)),ABS(($F30*100)-(Data!AA28-$G30)*$K30))</f>
        <v>67.8902111299461</v>
      </c>
      <c r="AI30" s="61">
        <f>CHOOSE($E30,SUMPRODUCT((AI31:AI$65)*($M31:$M$65)*($C31:X$65=$B30)),IF(NOT(ISNUMBER(Data!AB28)),0,ABS(($F30*100)-(Data!AB28-$I30)*$K30)),ABS(($F30*100)-(Data!AB28-$G30)*$K30))</f>
        <v>64.5649239060028</v>
      </c>
      <c r="AJ30" s="61">
        <f>CHOOSE($E30,SUMPRODUCT((AJ31:AJ$65)*($M31:$M$65)*($C31:Y$65=$B30)),IF(NOT(ISNUMBER(Data!AC28)),0,ABS(($F30*100)-(Data!AC28-$I30)*$K30)),ABS(($F30*100)-(Data!AC28-$G30)*$K30))</f>
        <v>68.5798451123557</v>
      </c>
      <c r="AK30" s="61">
        <f>CHOOSE($E30,SUMPRODUCT((AK31:AK$65)*($M31:$M$65)*($C31:Z$65=$B30)),IF(NOT(ISNUMBER(Data!AD28)),0,ABS(($F30*100)-(Data!AD28-$I30)*$K30)),ABS(($F30*100)-(Data!AD28-$G30)*$K30))</f>
        <v>51.8032265760994</v>
      </c>
      <c r="AL30" s="61">
        <f>CHOOSE($E30,SUMPRODUCT((AL31:AL$65)*($M31:$M$65)*($C31:AA$65=$B30)),IF(NOT(ISNUMBER(Data!AE28)),0,ABS(($F30*100)-(Data!AE28-$I30)*$K30)),ABS(($F30*100)-(Data!AE28-$G30)*$K30))</f>
        <v>55.5839527164977</v>
      </c>
      <c r="AM30" s="61">
        <f>CHOOSE($E30,SUMPRODUCT((AM31:AM$65)*($M31:$M$65)*($C31:AB$65=$B30)),IF(NOT(ISNUMBER(Data!AF28)),0,ABS(($F30*100)-(Data!AF28-$I30)*$K30)),ABS(($F30*100)-(Data!AF28-$G30)*$K30))</f>
        <v>64.8158553333003</v>
      </c>
      <c r="AN30" s="61">
        <f>CHOOSE($E30,SUMPRODUCT((AN31:AN$65)*($M31:$M$65)*($C31:AC$65=$B30)),IF(NOT(ISNUMBER(Data!AG28)),0,ABS(($F30*100)-(Data!AG28-$I30)*$K30)),ABS(($F30*100)-(Data!AG28-$G30)*$K30))</f>
        <v>52.1139078895251</v>
      </c>
      <c r="AO30" s="61">
        <f>CHOOSE($E30,SUMPRODUCT((AO31:AO$65)*($M31:$M$65)*($C31:AD$65=$B30)),IF(NOT(ISNUMBER(Data!AH28)),0,ABS(($F30*100)-(Data!AH28-$I30)*$K30)),ABS(($F30*100)-(Data!AH28-$G30)*$K30))</f>
        <v>78.1648037772525</v>
      </c>
      <c r="AP30" s="61">
        <f>CHOOSE($E30,SUMPRODUCT((AP31:AP$65)*($M31:$M$65)*($C31:AE$65=$B30)),IF(NOT(ISNUMBER(Data!AI28)),0,ABS(($F30*100)-(Data!AI28-$I30)*$K30)),ABS(($F30*100)-(Data!AI28-$G30)*$K30))</f>
        <v>75.5398585025443</v>
      </c>
      <c r="AQ30" s="61">
        <f>CHOOSE($E30,SUMPRODUCT((AQ31:AQ$65)*($M31:$M$65)*($C31:AF$65=$B30)),IF(NOT(ISNUMBER(Data!AJ28)),0,ABS(($F30*100)-(Data!AJ28-$I30)*$K30)),ABS(($F30*100)-(Data!AJ28-$G30)*$K30))</f>
        <v>83.9767339768198</v>
      </c>
      <c r="AR30" s="61">
        <f>CHOOSE($E30,SUMPRODUCT((AR31:AR$65)*($M31:$M$65)*($C31:AG$65=$B30)),IF(NOT(ISNUMBER(Data!AK28)),0,ABS(($F30*100)-(Data!AK28-$I30)*$K30)),ABS(($F30*100)-(Data!AK28-$G30)*$K30))</f>
        <v>80.2704491961649</v>
      </c>
      <c r="AS30" s="61">
        <f>CHOOSE($E30,SUMPRODUCT((AS31:AS$65)*($M31:$M$65)*($C31:AH$65=$B30)),IF(NOT(ISNUMBER(Data!AL28)),0,ABS(($F30*100)-(Data!AL28-$I30)*$K30)),ABS(($F30*100)-(Data!AL28-$G30)*$K30))</f>
        <v>70.9398018290317</v>
      </c>
      <c r="AT30" s="61">
        <f>CHOOSE($E30,SUMPRODUCT((AT31:AT$65)*($M31:$M$65)*($C31:AI$65=$B30)),IF(NOT(ISNUMBER(Data!AM28)),0,ABS(($F30*100)-(Data!AM28-$I30)*$K30)),ABS(($F30*100)-(Data!AM28-$G30)*$K30))</f>
        <v>66.2376946958279</v>
      </c>
      <c r="AU30" s="61">
        <f>CHOOSE($E30,SUMPRODUCT((AU31:AU$65)*($M31:$M$65)*($C31:AJ$65=$B30)),IF(NOT(ISNUMBER(Data!AN28)),0,ABS(($F30*100)-(Data!AN28-$I30)*$K30)),ABS(($F30*100)-(Data!AN28-$G30)*$K30))</f>
        <v>60.1497415035255</v>
      </c>
      <c r="AV30" s="61">
        <f>CHOOSE($E30,SUMPRODUCT((AV31:AV$65)*($M31:$M$65)*($C31:AK$65=$B30)),IF(NOT(ISNUMBER(Data!AO28)),0,ABS(($F30*100)-(Data!AO28-$I30)*$K30)),ABS(($F30*100)-(Data!AO28-$G30)*$K30))</f>
        <v>67.3762251888019</v>
      </c>
      <c r="AW30" s="61">
        <f>CHOOSE($E30,SUMPRODUCT((AW31:AW$65)*($M31:$M$65)*($C31:AL$65=$B30)),IF(NOT(ISNUMBER(Data!AP28)),0,ABS(($F30*100)-(Data!AP28-$I30)*$K30)),ABS(($F30*100)-(Data!AP28-$G30)*$K30))</f>
        <v>56.1943569929979</v>
      </c>
      <c r="AX30" s="61">
        <f>CHOOSE($E30,SUMPRODUCT((AX31:AX$65)*($M31:$M$65)*($C31:AM$65=$B30)),IF(NOT(ISNUMBER(Data!AQ28)),0,ABS(($F30*100)-(Data!AQ28-$I30)*$K30)),ABS(($F30*100)-(Data!AQ28-$G30)*$K30))</f>
        <v>65.4147208601124</v>
      </c>
      <c r="AY30" s="61">
        <f>CHOOSE($E30,SUMPRODUCT((AY31:AY$65)*($M31:$M$65)*($C31:AN$65=$B30)),IF(NOT(ISNUMBER(Data!AR28)),0,ABS(($F30*100)-(Data!AR28-$I30)*$K30)),ABS(($F30*100)-(Data!AR28-$G30)*$K30))</f>
        <v>49.746297405605</v>
      </c>
      <c r="AZ30" s="61">
        <f>CHOOSE($E30,SUMPRODUCT((AZ31:AZ$65)*($M31:$M$65)*($C31:AO$65=$B30)),IF(NOT(ISNUMBER(Data!AS28)),0,ABS(($F30*100)-(Data!AS28-$I30)*$K30)),ABS(($F30*100)-(Data!AS28-$G30)*$K30))</f>
        <v>78.1235898480159</v>
      </c>
      <c r="BA30" s="61">
        <f>CHOOSE($E30,SUMPRODUCT((BA31:BA$65)*($M31:$M$65)*($C31:AP$65=$B30)),IF(NOT(ISNUMBER(Data!AT28)),0,ABS(($F30*100)-(Data!AT28-$I30)*$K30)),ABS(($F30*100)-(Data!AT28-$G30)*$K30))</f>
        <v>80.4426688475638</v>
      </c>
      <c r="BB30" s="61">
        <f>CHOOSE($E30,SUMPRODUCT((BB31:BB$65)*($M31:$M$65)*($C31:AQ$65=$B30)),IF(NOT(ISNUMBER(Data!AU28)),0,ABS(($F30*100)-(Data!AU28-$I30)*$K30)),ABS(($F30*100)-(Data!AU28-$G30)*$K30))</f>
        <v>84.3072935952117</v>
      </c>
      <c r="BC30" s="61">
        <f>CHOOSE($E30,SUMPRODUCT((BC31:BC$65)*($M31:$M$65)*($C31:AR$65=$B30)),IF(NOT(ISNUMBER(Data!AV28)),0,ABS(($F30*100)-(Data!AV28-$I30)*$K30)),ABS(($F30*100)-(Data!AV28-$G30)*$K30))</f>
        <v>77.4617228128319</v>
      </c>
      <c r="BD30" s="61">
        <f>CHOOSE($E30,SUMPRODUCT((BD31:BD$65)*($M31:$M$65)*($C31:AS$65=$B30)),IF(NOT(ISNUMBER(Data!AW28)),0,ABS(($F30*100)-(Data!AW28-$I30)*$K30)),ABS(($F30*100)-(Data!AW28-$G30)*$K30))</f>
        <v>77.1874690626065</v>
      </c>
      <c r="BE30" s="61">
        <f>CHOOSE($E30,SUMPRODUCT((BE31:BE$65)*($M31:$M$65)*($C31:AT$65=$B30)),IF(NOT(ISNUMBER(Data!AX28)),0,ABS(($F30*100)-(Data!AX28-$I30)*$K30)),ABS(($F30*100)-(Data!AX28-$G30)*$K30))</f>
        <v>78.0411137202767</v>
      </c>
      <c r="BF30" s="61">
        <f>CHOOSE($E30,SUMPRODUCT((BF31:BF$65)*($M31:$M$65)*($C31:AU$65=$B30)),IF(NOT(ISNUMBER(Data!AY28)),0,ABS(($F30*100)-(Data!AY28-$I30)*$K30)),ABS(($F30*100)-(Data!AY28-$G30)*$K30))</f>
        <v>71.8304863613877</v>
      </c>
      <c r="BG30" s="61">
        <f>CHOOSE($E30,SUMPRODUCT((BG31:BG$65)*($M31:$M$65)*($C31:AV$65=$B30)),IF(NOT(ISNUMBER(Data!AZ28)),0,ABS(($F30*100)-(Data!AZ28-$I30)*$K30)),ABS(($F30*100)-(Data!AZ28-$G30)*$K30))</f>
        <v>86.1869740073373</v>
      </c>
      <c r="BH30" s="61">
        <f>CHOOSE($E30,SUMPRODUCT((BH31:BH$65)*($M31:$M$65)*($C31:AW$65=$B30)),IF(NOT(ISNUMBER(Data!BA28)),0,ABS(($F30*100)-(Data!BA28-$I30)*$K30)),ABS(($F30*100)-(Data!BA28-$G30)*$K30))</f>
        <v>85.2135222118959</v>
      </c>
      <c r="BI30" s="61">
        <f>CHOOSE($E30,SUMPRODUCT((BI31:BI$65)*($M31:$M$65)*($C31:AX$65=$B30)),IF(NOT(ISNUMBER(Data!BB28)),0,ABS(($F30*100)-(Data!BB28-$I30)*$K30)),ABS(($F30*100)-(Data!BB28-$G30)*$K30))</f>
        <v>86.8182868825413</v>
      </c>
      <c r="BJ30" s="61">
        <f>CHOOSE($E30,SUMPRODUCT((BJ31:BJ$65)*($M31:$M$65)*($C31:AY$65=$B30)),IF(NOT(ISNUMBER(Data!BC28)),0,ABS(($F30*100)-(Data!BC28-$I30)*$K30)),ABS(($F30*100)-(Data!BC28-$G30)*$K30))</f>
        <v>65.8091330568944</v>
      </c>
      <c r="BK30" s="61">
        <f>CHOOSE($E30,SUMPRODUCT((BK31:BK$65)*($M31:$M$65)*($C31:AZ$65=$B30)),IF(NOT(ISNUMBER(Data!BD28)),0,ABS(($F30*100)-(Data!BD28-$I30)*$K30)),ABS(($F30*100)-(Data!BD28-$G30)*$K30))</f>
        <v>80.4508747624763</v>
      </c>
      <c r="BM30" s="65"/>
    </row>
    <row r="31" spans="1:65">
      <c r="A31" s="24"/>
      <c r="B31" s="24" t="str">
        <f>tblIndicators!B24</f>
        <v>HELSEC_OP_01</v>
      </c>
      <c r="C31" s="24" t="str">
        <f>tblIndicators!C24</f>
        <v>HELSEC_OP</v>
      </c>
      <c r="D31" s="52">
        <f>tblIndicators!D24</f>
        <v>3</v>
      </c>
      <c r="E31" s="52">
        <f>tblIndicators!M24</f>
        <v>3</v>
      </c>
      <c r="F31" s="52">
        <f>tblIndicators!N24</f>
        <v>1</v>
      </c>
      <c r="G31" s="52">
        <f>tblIndicators!Q24</f>
        <v>1</v>
      </c>
      <c r="H31" s="52">
        <f>tblIndicators!R24</f>
        <v>100</v>
      </c>
      <c r="I31" s="52" t="str">
        <f>IF($E31=2,MIN(Data!G29:BD29),"")</f>
        <v/>
      </c>
      <c r="J31" s="52" t="str">
        <f>IF($E31=2,MAX(Data!G29:BD29),"")</f>
        <v/>
      </c>
      <c r="K31" s="54">
        <f t="shared" si="2"/>
        <v>1.01010101010101</v>
      </c>
      <c r="L31" s="62" t="str">
        <f>tblIndicators!Z24</f>
        <v>2.2.1) Air quality</v>
      </c>
      <c r="M31" s="63">
        <f>tblIndicators!AC24</f>
        <v>0.2</v>
      </c>
      <c r="N31" s="64">
        <f>CHOOSE($E31,SUMPRODUCT((N32:N$65)*($M32:$M$65)*($C32:C$65=$B31)),IF(NOT(ISNUMBER(Data!G29)),0,ABS(($F31*100)-(Data!G29-$I31)*$K31)),ABS(($F31*100)-(Data!G29-$G31)*$K31))</f>
        <v>93.9393939393939</v>
      </c>
      <c r="O31" s="64">
        <f>CHOOSE($E31,SUMPRODUCT((O32:O$65)*($M32:$M$65)*($C32:D$65=$B31)),IF(NOT(ISNUMBER(Data!H29)),0,ABS(($F31*100)-(Data!H29-$I31)*$K31)),ABS(($F31*100)-(Data!H29-$G31)*$K31))</f>
        <v>49.4949494949495</v>
      </c>
      <c r="P31" s="64">
        <f>CHOOSE($E31,SUMPRODUCT((P32:P$65)*($M32:$M$65)*($C32:E$65=$B31)),IF(NOT(ISNUMBER(Data!I29)),0,ABS(($F31*100)-(Data!I29-$I31)*$K31)),ABS(($F31*100)-(Data!I29-$G31)*$K31))</f>
        <v>84.8484848484848</v>
      </c>
      <c r="Q31" s="64">
        <f>CHOOSE($E31,SUMPRODUCT((Q32:Q$65)*($M32:$M$65)*($C32:F$65=$B31)),IF(NOT(ISNUMBER(Data!J29)),0,ABS(($F31*100)-(Data!J29-$I31)*$K31)),ABS(($F31*100)-(Data!J29-$G31)*$K31))</f>
        <v>81.8181818181818</v>
      </c>
      <c r="R31" s="64">
        <f>CHOOSE($E31,SUMPRODUCT((R32:R$65)*($M32:$M$65)*($C32:G$65=$B31)),IF(NOT(ISNUMBER(Data!K29)),0,ABS(($F31*100)-(Data!K29-$I31)*$K31)),ABS(($F31*100)-(Data!K29-$G31)*$K31))</f>
        <v>64.6464646464646</v>
      </c>
      <c r="S31" s="64">
        <f>CHOOSE($E31,SUMPRODUCT((S32:S$65)*($M32:$M$65)*($C32:H$65=$B31)),IF(NOT(ISNUMBER(Data!L29)),0,ABS(($F31*100)-(Data!L29-$I31)*$K31)),ABS(($F31*100)-(Data!L29-$G31)*$K31))</f>
        <v>80.8080808080808</v>
      </c>
      <c r="T31" s="64">
        <f>CHOOSE($E31,SUMPRODUCT((T32:T$65)*($M32:$M$65)*($C32:I$65=$B31)),IF(NOT(ISNUMBER(Data!M29)),0,ABS(($F31*100)-(Data!M29-$I31)*$K31)),ABS(($F31*100)-(Data!M29-$G31)*$K31))</f>
        <v>90.9090909090909</v>
      </c>
      <c r="U31" s="64">
        <f>CHOOSE($E31,SUMPRODUCT((U32:U$65)*($M32:$M$65)*($C32:J$65=$B31)),IF(NOT(ISNUMBER(Data!N29)),0,ABS(($F31*100)-(Data!N29-$I31)*$K31)),ABS(($F31*100)-(Data!N29-$G31)*$K31))</f>
        <v>92.9292929292929</v>
      </c>
      <c r="V31" s="64">
        <f>CHOOSE($E31,SUMPRODUCT((V32:V$65)*($M32:$M$65)*($C32:K$65=$B31)),IF(NOT(ISNUMBER(Data!O29)),0,ABS(($F31*100)-(Data!O29-$I31)*$K31)),ABS(($F31*100)-(Data!O29-$G31)*$K31))</f>
        <v>91.9191919191919</v>
      </c>
      <c r="W31" s="64">
        <f>CHOOSE($E31,SUMPRODUCT((W32:W$65)*($M32:$M$65)*($C32:L$65=$B31)),IF(NOT(ISNUMBER(Data!P29)),0,ABS(($F31*100)-(Data!P29-$I31)*$K31)),ABS(($F31*100)-(Data!P29-$G31)*$K31))</f>
        <v>87.8787878787879</v>
      </c>
      <c r="X31" s="64">
        <f>CHOOSE($E31,SUMPRODUCT((X32:X$65)*($M32:$M$65)*($C32:M$65=$B31)),IF(NOT(ISNUMBER(Data!Q29)),0,ABS(($F31*100)-(Data!Q29-$I31)*$K31)),ABS(($F31*100)-(Data!Q29-$G31)*$K31))</f>
        <v>75.7575757575758</v>
      </c>
      <c r="Y31" s="64">
        <f>CHOOSE($E31,SUMPRODUCT((Y32:Y$65)*($M32:$M$65)*($C32:N$65=$B31)),IF(NOT(ISNUMBER(Data!R29)),0,ABS(($F31*100)-(Data!R29-$I31)*$K31)),ABS(($F31*100)-(Data!R29-$G31)*$K31))</f>
        <v>62.6262626262626</v>
      </c>
      <c r="Z31" s="64">
        <f>CHOOSE($E31,SUMPRODUCT((Z32:Z$65)*($M32:$M$65)*($C32:O$65=$B31)),IF(NOT(ISNUMBER(Data!S29)),0,ABS(($F31*100)-(Data!S29-$I31)*$K31)),ABS(($F31*100)-(Data!S29-$G31)*$K31))</f>
        <v>74.7474747474747</v>
      </c>
      <c r="AA31" s="64">
        <f>CHOOSE($E31,SUMPRODUCT((AA32:AA$65)*($M32:$M$65)*($C32:P$65=$B31)),IF(NOT(ISNUMBER(Data!T29)),0,ABS(($F31*100)-(Data!T29-$I31)*$K31)),ABS(($F31*100)-(Data!T29-$G31)*$K31))</f>
        <v>86.8686868686869</v>
      </c>
      <c r="AB31" s="64">
        <f>CHOOSE($E31,SUMPRODUCT((AB32:AB$65)*($M32:$M$65)*($C32:Q$65=$B31)),IF(NOT(ISNUMBER(Data!U29)),0,ABS(($F31*100)-(Data!U29-$I31)*$K31)),ABS(($F31*100)-(Data!U29-$G31)*$K31))</f>
        <v>88.8888888888889</v>
      </c>
      <c r="AC31" s="64">
        <f>CHOOSE($E31,SUMPRODUCT((AC32:AC$65)*($M32:$M$65)*($C32:R$65=$B31)),IF(NOT(ISNUMBER(Data!V29)),0,ABS(($F31*100)-(Data!V29-$I31)*$K31)),ABS(($F31*100)-(Data!V29-$G31)*$K31))</f>
        <v>95.959595959596</v>
      </c>
      <c r="AD31" s="64">
        <f>CHOOSE($E31,SUMPRODUCT((AD32:AD$65)*($M32:$M$65)*($C32:S$65=$B31)),IF(NOT(ISNUMBER(Data!W29)),0,ABS(($F31*100)-(Data!W29-$I31)*$K31)),ABS(($F31*100)-(Data!W29-$G31)*$K31))</f>
        <v>95.959595959596</v>
      </c>
      <c r="AE31" s="64">
        <f>CHOOSE($E31,SUMPRODUCT((AE32:AE$65)*($M32:$M$65)*($C32:T$65=$B31)),IF(NOT(ISNUMBER(Data!X29)),0,ABS(($F31*100)-(Data!X29-$I31)*$K31)),ABS(($F31*100)-(Data!X29-$G31)*$K31))</f>
        <v>79.7979797979798</v>
      </c>
      <c r="AF31" s="64">
        <f>CHOOSE($E31,SUMPRODUCT((AF32:AF$65)*($M32:$M$65)*($C32:U$65=$B31)),IF(NOT(ISNUMBER(Data!Y29)),0,ABS(($F31*100)-(Data!Y29-$I31)*$K31)),ABS(($F31*100)-(Data!Y29-$G31)*$K31))</f>
        <v>44.4444444444444</v>
      </c>
      <c r="AG31" s="64">
        <f>CHOOSE($E31,SUMPRODUCT((AG32:AG$65)*($M32:$M$65)*($C32:V$65=$B31)),IF(NOT(ISNUMBER(Data!Z29)),0,ABS(($F31*100)-(Data!Z29-$I31)*$K31)),ABS(($F31*100)-(Data!Z29-$G31)*$K31))</f>
        <v>64.6464646464646</v>
      </c>
      <c r="AH31" s="64">
        <f>CHOOSE($E31,SUMPRODUCT((AH32:AH$65)*($M32:$M$65)*($C32:W$65=$B31)),IF(NOT(ISNUMBER(Data!AA29)),0,ABS(($F31*100)-(Data!AA29-$I31)*$K31)),ABS(($F31*100)-(Data!AA29-$G31)*$K31))</f>
        <v>74.7474747474747</v>
      </c>
      <c r="AI31" s="64">
        <f>CHOOSE($E31,SUMPRODUCT((AI32:AI$65)*($M32:$M$65)*($C32:X$65=$B31)),IF(NOT(ISNUMBER(Data!AB29)),0,ABS(($F31*100)-(Data!AB29-$I31)*$K31)),ABS(($F31*100)-(Data!AB29-$G31)*$K31))</f>
        <v>68.6868686868687</v>
      </c>
      <c r="AJ31" s="64">
        <f>CHOOSE($E31,SUMPRODUCT((AJ32:AJ$65)*($M32:$M$65)*($C32:Y$65=$B31)),IF(NOT(ISNUMBER(Data!AC29)),0,ABS(($F31*100)-(Data!AC29-$I31)*$K31)),ABS(($F31*100)-(Data!AC29-$G31)*$K31))</f>
        <v>56.5656565656566</v>
      </c>
      <c r="AK31" s="64">
        <f>CHOOSE($E31,SUMPRODUCT((AK32:AK$65)*($M32:$M$65)*($C32:Z$65=$B31)),IF(NOT(ISNUMBER(Data!AD29)),0,ABS(($F31*100)-(Data!AD29-$I31)*$K31)),ABS(($F31*100)-(Data!AD29-$G31)*$K31))</f>
        <v>55.5555555555556</v>
      </c>
      <c r="AL31" s="64">
        <f>CHOOSE($E31,SUMPRODUCT((AL32:AL$65)*($M32:$M$65)*($C32:AA$65=$B31)),IF(NOT(ISNUMBER(Data!AE29)),0,ABS(($F31*100)-(Data!AE29-$I31)*$K31)),ABS(($F31*100)-(Data!AE29-$G31)*$K31))</f>
        <v>53.5353535353536</v>
      </c>
      <c r="AM31" s="64">
        <f>CHOOSE($E31,SUMPRODUCT((AM32:AM$65)*($M32:$M$65)*($C32:AB$65=$B31)),IF(NOT(ISNUMBER(Data!AF29)),0,ABS(($F31*100)-(Data!AF29-$I31)*$K31)),ABS(($F31*100)-(Data!AF29-$G31)*$K31))</f>
        <v>79.7979797979798</v>
      </c>
      <c r="AN31" s="64">
        <f>CHOOSE($E31,SUMPRODUCT((AN32:AN$65)*($M32:$M$65)*($C32:AC$65=$B31)),IF(NOT(ISNUMBER(Data!AG29)),0,ABS(($F31*100)-(Data!AG29-$I31)*$K31)),ABS(($F31*100)-(Data!AG29-$G31)*$K31))</f>
        <v>70.7070707070707</v>
      </c>
      <c r="AO31" s="64">
        <f>CHOOSE($E31,SUMPRODUCT((AO32:AO$65)*($M32:$M$65)*($C32:AD$65=$B31)),IF(NOT(ISNUMBER(Data!AH29)),0,ABS(($F31*100)-(Data!AH29-$I31)*$K31)),ABS(($F31*100)-(Data!AH29-$G31)*$K31))</f>
        <v>90.9090909090909</v>
      </c>
      <c r="AP31" s="64">
        <f>CHOOSE($E31,SUMPRODUCT((AP32:AP$65)*($M32:$M$65)*($C32:AE$65=$B31)),IF(NOT(ISNUMBER(Data!AI29)),0,ABS(($F31*100)-(Data!AI29-$I31)*$K31)),ABS(($F31*100)-(Data!AI29-$G31)*$K31))</f>
        <v>91.9191919191919</v>
      </c>
      <c r="AQ31" s="64">
        <f>CHOOSE($E31,SUMPRODUCT((AQ32:AQ$65)*($M32:$M$65)*($C32:AF$65=$B31)),IF(NOT(ISNUMBER(Data!AJ29)),0,ABS(($F31*100)-(Data!AJ29-$I31)*$K31)),ABS(($F31*100)-(Data!AJ29-$G31)*$K31))</f>
        <v>83.8383838383838</v>
      </c>
      <c r="AR31" s="64">
        <f>CHOOSE($E31,SUMPRODUCT((AR32:AR$65)*($M32:$M$65)*($C32:AG$65=$B31)),IF(NOT(ISNUMBER(Data!AK29)),0,ABS(($F31*100)-(Data!AK29-$I31)*$K31)),ABS(($F31*100)-(Data!AK29-$G31)*$K31))</f>
        <v>78.7878787878788</v>
      </c>
      <c r="AS31" s="64">
        <f>CHOOSE($E31,SUMPRODUCT((AS32:AS$65)*($M32:$M$65)*($C32:AH$65=$B31)),IF(NOT(ISNUMBER(Data!AL29)),0,ABS(($F31*100)-(Data!AL29-$I31)*$K31)),ABS(($F31*100)-(Data!AL29-$G31)*$K31))</f>
        <v>59.5959595959596</v>
      </c>
      <c r="AT31" s="64">
        <f>CHOOSE($E31,SUMPRODUCT((AT32:AT$65)*($M32:$M$65)*($C32:AI$65=$B31)),IF(NOT(ISNUMBER(Data!AM29)),0,ABS(($F31*100)-(Data!AM29-$I31)*$K31)),ABS(($F31*100)-(Data!AM29-$G31)*$K31))</f>
        <v>80.8080808080808</v>
      </c>
      <c r="AU31" s="64">
        <f>CHOOSE($E31,SUMPRODUCT((AU32:AU$65)*($M32:$M$65)*($C32:AJ$65=$B31)),IF(NOT(ISNUMBER(Data!AN29)),0,ABS(($F31*100)-(Data!AN29-$I31)*$K31)),ABS(($F31*100)-(Data!AN29-$G31)*$K31))</f>
        <v>73.7373737373737</v>
      </c>
      <c r="AV31" s="64">
        <f>CHOOSE($E31,SUMPRODUCT((AV32:AV$65)*($M32:$M$65)*($C32:AK$65=$B31)),IF(NOT(ISNUMBER(Data!AO29)),0,ABS(($F31*100)-(Data!AO29-$I31)*$K31)),ABS(($F31*100)-(Data!AO29-$G31)*$K31))</f>
        <v>40.4040404040404</v>
      </c>
      <c r="AW31" s="64">
        <f>CHOOSE($E31,SUMPRODUCT((AW32:AW$65)*($M32:$M$65)*($C32:AL$65=$B31)),IF(NOT(ISNUMBER(Data!AP29)),0,ABS(($F31*100)-(Data!AP29-$I31)*$K31)),ABS(($F31*100)-(Data!AP29-$G31)*$K31))</f>
        <v>7.07070707070706</v>
      </c>
      <c r="AX31" s="64">
        <f>CHOOSE($E31,SUMPRODUCT((AX32:AX$65)*($M32:$M$65)*($C32:AM$65=$B31)),IF(NOT(ISNUMBER(Data!AQ29)),0,ABS(($F31*100)-(Data!AQ29-$I31)*$K31)),ABS(($F31*100)-(Data!AQ29-$G31)*$K31))</f>
        <v>72.7272727272727</v>
      </c>
      <c r="AY31" s="64">
        <f>CHOOSE($E31,SUMPRODUCT((AY32:AY$65)*($M32:$M$65)*($C32:AN$65=$B31)),IF(NOT(ISNUMBER(Data!AR29)),0,ABS(($F31*100)-(Data!AR29-$I31)*$K31)),ABS(($F31*100)-(Data!AR29-$G31)*$K31))</f>
        <v>36.3636363636364</v>
      </c>
      <c r="AZ31" s="64">
        <f>CHOOSE($E31,SUMPRODUCT((AZ32:AZ$65)*($M32:$M$65)*($C32:AO$65=$B31)),IF(NOT(ISNUMBER(Data!AS29)),0,ABS(($F31*100)-(Data!AS29-$I31)*$K31)),ABS(($F31*100)-(Data!AS29-$G31)*$K31))</f>
        <v>82.8282828282828</v>
      </c>
      <c r="BA31" s="64">
        <f>CHOOSE($E31,SUMPRODUCT((BA32:BA$65)*($M32:$M$65)*($C32:AP$65=$B31)),IF(NOT(ISNUMBER(Data!AT29)),0,ABS(($F31*100)-(Data!AT29-$I31)*$K31)),ABS(($F31*100)-(Data!AT29-$G31)*$K31))</f>
        <v>83.8383838383838</v>
      </c>
      <c r="BB31" s="64">
        <f>CHOOSE($E31,SUMPRODUCT((BB32:BB$65)*($M32:$M$65)*($C32:AQ$65=$B31)),IF(NOT(ISNUMBER(Data!AU29)),0,ABS(($F31*100)-(Data!AU29-$I31)*$K31)),ABS(($F31*100)-(Data!AU29-$G31)*$K31))</f>
        <v>82.8282828282828</v>
      </c>
      <c r="BC31" s="64">
        <f>CHOOSE($E31,SUMPRODUCT((BC32:BC$65)*($M32:$M$65)*($C32:AR$65=$B31)),IF(NOT(ISNUMBER(Data!AV29)),0,ABS(($F31*100)-(Data!AV29-$I31)*$K31)),ABS(($F31*100)-(Data!AV29-$G31)*$K31))</f>
        <v>79.7979797979798</v>
      </c>
      <c r="BD31" s="64">
        <f>CHOOSE($E31,SUMPRODUCT((BD32:BD$65)*($M32:$M$65)*($C32:AS$65=$B31)),IF(NOT(ISNUMBER(Data!AW29)),0,ABS(($F31*100)-(Data!AW29-$I31)*$K31)),ABS(($F31*100)-(Data!AW29-$G31)*$K31))</f>
        <v>67.6767676767677</v>
      </c>
      <c r="BE31" s="64">
        <f>CHOOSE($E31,SUMPRODUCT((BE32:BE$65)*($M32:$M$65)*($C32:AT$65=$B31)),IF(NOT(ISNUMBER(Data!AX29)),0,ABS(($F31*100)-(Data!AX29-$I31)*$K31)),ABS(($F31*100)-(Data!AX29-$G31)*$K31))</f>
        <v>82.8282828282828</v>
      </c>
      <c r="BF31" s="64">
        <f>CHOOSE($E31,SUMPRODUCT((BF32:BF$65)*($M32:$M$65)*($C32:AU$65=$B31)),IF(NOT(ISNUMBER(Data!AY29)),0,ABS(($F31*100)-(Data!AY29-$I31)*$K31)),ABS(($F31*100)-(Data!AY29-$G31)*$K31))</f>
        <v>78.7878787878788</v>
      </c>
      <c r="BG31" s="64">
        <f>CHOOSE($E31,SUMPRODUCT((BG32:BG$65)*($M32:$M$65)*($C32:AV$65=$B31)),IF(NOT(ISNUMBER(Data!AZ29)),0,ABS(($F31*100)-(Data!AZ29-$I31)*$K31)),ABS(($F31*100)-(Data!AZ29-$G31)*$K31))</f>
        <v>89.8989898989899</v>
      </c>
      <c r="BH31" s="64">
        <f>CHOOSE($E31,SUMPRODUCT((BH32:BH$65)*($M32:$M$65)*($C32:AW$65=$B31)),IF(NOT(ISNUMBER(Data!BA29)),0,ABS(($F31*100)-(Data!BA29-$I31)*$K31)),ABS(($F31*100)-(Data!BA29-$G31)*$K31))</f>
        <v>84.8484848484848</v>
      </c>
      <c r="BI31" s="64">
        <f>CHOOSE($E31,SUMPRODUCT((BI32:BI$65)*($M32:$M$65)*($C32:AX$65=$B31)),IF(NOT(ISNUMBER(Data!BB29)),0,ABS(($F31*100)-(Data!BB29-$I31)*$K31)),ABS(($F31*100)-(Data!BB29-$G31)*$K31))</f>
        <v>86.8686868686869</v>
      </c>
      <c r="BJ31" s="64">
        <f>CHOOSE($E31,SUMPRODUCT((BJ32:BJ$65)*($M32:$M$65)*($C32:AY$65=$B31)),IF(NOT(ISNUMBER(Data!BC29)),0,ABS(($F31*100)-(Data!BC29-$I31)*$K31)),ABS(($F31*100)-(Data!BC29-$G31)*$K31))</f>
        <v>68.6868686868687</v>
      </c>
      <c r="BK31" s="64">
        <f>CHOOSE($E31,SUMPRODUCT((BK32:BK$65)*($M32:$M$65)*($C32:AZ$65=$B31)),IF(NOT(ISNUMBER(Data!BD29)),0,ABS(($F31*100)-(Data!BD29-$I31)*$K31)),ABS(($F31*100)-(Data!BD29-$G31)*$K31))</f>
        <v>84.8484848484848</v>
      </c>
      <c r="BM31" s="65"/>
    </row>
    <row r="32" s="21" customFormat="1" spans="1:65">
      <c r="A32" s="24"/>
      <c r="B32" s="24" t="str">
        <f>tblIndicators!B25</f>
        <v>HELSEC_OP_02</v>
      </c>
      <c r="C32" s="24" t="str">
        <f>tblIndicators!C25</f>
        <v>HELSEC_OP</v>
      </c>
      <c r="D32" s="52">
        <f>tblIndicators!D25</f>
        <v>3</v>
      </c>
      <c r="E32" s="52">
        <f>tblIndicators!M25</f>
        <v>3</v>
      </c>
      <c r="F32" s="52">
        <f>tblIndicators!N25</f>
        <v>0</v>
      </c>
      <c r="G32" s="52">
        <f>tblIndicators!Q25</f>
        <v>1</v>
      </c>
      <c r="H32" s="52">
        <f>tblIndicators!R25</f>
        <v>100</v>
      </c>
      <c r="I32" s="52" t="str">
        <f>IF($E32=2,MIN(Data!G30:BD30),"")</f>
        <v/>
      </c>
      <c r="J32" s="52" t="str">
        <f>IF($E32=2,MAX(Data!G30:BD30),"")</f>
        <v/>
      </c>
      <c r="K32" s="54">
        <f t="shared" si="2"/>
        <v>1.01010101010101</v>
      </c>
      <c r="L32" s="62" t="str">
        <f>tblIndicators!Z25</f>
        <v>2.2.2) Water quality</v>
      </c>
      <c r="M32" s="63">
        <f>tblIndicators!AC25</f>
        <v>0.2</v>
      </c>
      <c r="N32" s="64">
        <f>CHOOSE($E32,SUMPRODUCT((N33:N$65)*($M33:$M$65)*($C33:C$65=$B32)),IF(NOT(ISNUMBER(Data!G30)),0,ABS(($F32*100)-(Data!G30-$I32)*$K32)),ABS(($F32*100)-(Data!G30-$G32)*$K32))</f>
        <v>71.1111111111111</v>
      </c>
      <c r="O32" s="64">
        <f>CHOOSE($E32,SUMPRODUCT((O33:O$65)*($M33:$M$65)*($C33:D$65=$B32)),IF(NOT(ISNUMBER(Data!H30)),0,ABS(($F32*100)-(Data!H30-$I32)*$K32)),ABS(($F32*100)-(Data!H30-$G32)*$K32))</f>
        <v>59.4949494949495</v>
      </c>
      <c r="P32" s="64">
        <f>CHOOSE($E32,SUMPRODUCT((P33:P$65)*($M33:$M$65)*($C33:E$65=$B32)),IF(NOT(ISNUMBER(Data!I30)),0,ABS(($F32*100)-(Data!I30-$I32)*$K32)),ABS(($F32*100)-(Data!I30-$G32)*$K32))</f>
        <v>42.8282828282828</v>
      </c>
      <c r="Q32" s="64">
        <f>CHOOSE($E32,SUMPRODUCT((Q33:Q$65)*($M33:$M$65)*($C33:F$65=$B32)),IF(NOT(ISNUMBER(Data!J30)),0,ABS(($F32*100)-(Data!J30-$I32)*$K32)),ABS(($F32*100)-(Data!J30-$G32)*$K32))</f>
        <v>73.3333333333333</v>
      </c>
      <c r="R32" s="64">
        <f>CHOOSE($E32,SUMPRODUCT((R33:R$65)*($M33:$M$65)*($C33:G$65=$B32)),IF(NOT(ISNUMBER(Data!K30)),0,ABS(($F32*100)-(Data!K30-$I32)*$K32)),ABS(($F32*100)-(Data!K30-$G32)*$K32))</f>
        <v>54.1414141414141</v>
      </c>
      <c r="S32" s="64">
        <f>CHOOSE($E32,SUMPRODUCT((S33:S$65)*($M33:$M$65)*($C33:H$65=$B32)),IF(NOT(ISNUMBER(Data!L30)),0,ABS(($F32*100)-(Data!L30-$I32)*$K32)),ABS(($F32*100)-(Data!L30-$G32)*$K32))</f>
        <v>81.5151515151515</v>
      </c>
      <c r="T32" s="64">
        <f>CHOOSE($E32,SUMPRODUCT((T33:T$65)*($M33:$M$65)*($C33:I$65=$B32)),IF(NOT(ISNUMBER(Data!M30)),0,ABS(($F32*100)-(Data!M30-$I32)*$K32)),ABS(($F32*100)-(Data!M30-$G32)*$K32))</f>
        <v>87.2727272727273</v>
      </c>
      <c r="U32" s="64">
        <f>CHOOSE($E32,SUMPRODUCT((U33:U$65)*($M33:$M$65)*($C33:J$65=$B32)),IF(NOT(ISNUMBER(Data!N30)),0,ABS(($F32*100)-(Data!N30-$I32)*$K32)),ABS(($F32*100)-(Data!N30-$G32)*$K32))</f>
        <v>83.3333333333333</v>
      </c>
      <c r="V32" s="64">
        <f>CHOOSE($E32,SUMPRODUCT((V33:V$65)*($M33:$M$65)*($C33:K$65=$B32)),IF(NOT(ISNUMBER(Data!O30)),0,ABS(($F32*100)-(Data!O30-$I32)*$K32)),ABS(($F32*100)-(Data!O30-$G32)*$K32))</f>
        <v>46.6666666666667</v>
      </c>
      <c r="W32" s="64">
        <f>CHOOSE($E32,SUMPRODUCT((W33:W$65)*($M33:$M$65)*($C33:L$65=$B32)),IF(NOT(ISNUMBER(Data!P30)),0,ABS(($F32*100)-(Data!P30-$I32)*$K32)),ABS(($F32*100)-(Data!P30-$G32)*$K32))</f>
        <v>82.020202020202</v>
      </c>
      <c r="X32" s="64">
        <f>CHOOSE($E32,SUMPRODUCT((X33:X$65)*($M33:$M$65)*($C33:M$65=$B32)),IF(NOT(ISNUMBER(Data!Q30)),0,ABS(($F32*100)-(Data!Q30-$I32)*$K32)),ABS(($F32*100)-(Data!Q30-$G32)*$K32))</f>
        <v>65.6565656565657</v>
      </c>
      <c r="Y32" s="64">
        <f>CHOOSE($E32,SUMPRODUCT((Y33:Y$65)*($M33:$M$65)*($C33:N$65=$B32)),IF(NOT(ISNUMBER(Data!R30)),0,ABS(($F32*100)-(Data!R30-$I32)*$K32)),ABS(($F32*100)-(Data!R30-$G32)*$K32))</f>
        <v>58.5858585858586</v>
      </c>
      <c r="Z32" s="64">
        <f>CHOOSE($E32,SUMPRODUCT((Z33:Z$65)*($M33:$M$65)*($C33:O$65=$B32)),IF(NOT(ISNUMBER(Data!S30)),0,ABS(($F32*100)-(Data!S30-$I32)*$K32)),ABS(($F32*100)-(Data!S30-$G32)*$K32))</f>
        <v>69.8989898989899</v>
      </c>
      <c r="AA32" s="64">
        <f>CHOOSE($E32,SUMPRODUCT((AA33:AA$65)*($M33:$M$65)*($C33:P$65=$B32)),IF(NOT(ISNUMBER(Data!T30)),0,ABS(($F32*100)-(Data!T30-$I32)*$K32)),ABS(($F32*100)-(Data!T30-$G32)*$K32))</f>
        <v>88.6868686868687</v>
      </c>
      <c r="AB32" s="64">
        <f>CHOOSE($E32,SUMPRODUCT((AB33:AB$65)*($M33:$M$65)*($C33:Q$65=$B32)),IF(NOT(ISNUMBER(Data!U30)),0,ABS(($F32*100)-(Data!U30-$I32)*$K32)),ABS(($F32*100)-(Data!U30-$G32)*$K32))</f>
        <v>66.969696969697</v>
      </c>
      <c r="AC32" s="64">
        <f>CHOOSE($E32,SUMPRODUCT((AC33:AC$65)*($M33:$M$65)*($C33:R$65=$B32)),IF(NOT(ISNUMBER(Data!V30)),0,ABS(($F32*100)-(Data!V30-$I32)*$K32)),ABS(($F32*100)-(Data!V30-$G32)*$K32))</f>
        <v>81.8181818181818</v>
      </c>
      <c r="AD32" s="64">
        <f>CHOOSE($E32,SUMPRODUCT((AD33:AD$65)*($M33:$M$65)*($C33:S$65=$B32)),IF(NOT(ISNUMBER(Data!W30)),0,ABS(($F32*100)-(Data!W30-$I32)*$K32)),ABS(($F32*100)-(Data!W30-$G32)*$K32))</f>
        <v>67.2727272727273</v>
      </c>
      <c r="AE32" s="64">
        <f>CHOOSE($E32,SUMPRODUCT((AE33:AE$65)*($M33:$M$65)*($C33:T$65=$B32)),IF(NOT(ISNUMBER(Data!X30)),0,ABS(($F32*100)-(Data!X30-$I32)*$K32)),ABS(($F32*100)-(Data!X30-$G32)*$K32))</f>
        <v>64.1414141414141</v>
      </c>
      <c r="AF32" s="64">
        <f>CHOOSE($E32,SUMPRODUCT((AF33:AF$65)*($M33:$M$65)*($C33:U$65=$B32)),IF(NOT(ISNUMBER(Data!Y30)),0,ABS(($F32*100)-(Data!Y30-$I32)*$K32)),ABS(($F32*100)-(Data!Y30-$G32)*$K32))</f>
        <v>72.1212121212121</v>
      </c>
      <c r="AG32" s="64">
        <f>CHOOSE($E32,SUMPRODUCT((AG33:AG$65)*($M33:$M$65)*($C33:V$65=$B32)),IF(NOT(ISNUMBER(Data!Z30)),0,ABS(($F32*100)-(Data!Z30-$I32)*$K32)),ABS(($F32*100)-(Data!Z30-$G32)*$K32))</f>
        <v>62.6262626262626</v>
      </c>
      <c r="AH32" s="64">
        <f>CHOOSE($E32,SUMPRODUCT((AH33:AH$65)*($M33:$M$65)*($C33:W$65=$B32)),IF(NOT(ISNUMBER(Data!AA30)),0,ABS(($F32*100)-(Data!AA30-$I32)*$K32)),ABS(($F32*100)-(Data!AA30-$G32)*$K32))</f>
        <v>64.1414141414141</v>
      </c>
      <c r="AI32" s="64">
        <f>CHOOSE($E32,SUMPRODUCT((AI33:AI$65)*($M33:$M$65)*($C33:X$65=$B32)),IF(NOT(ISNUMBER(Data!AB30)),0,ABS(($F32*100)-(Data!AB30-$I32)*$K32)),ABS(($F32*100)-(Data!AB30-$G32)*$K32))</f>
        <v>54.4444444444444</v>
      </c>
      <c r="AJ32" s="64">
        <f>CHOOSE($E32,SUMPRODUCT((AJ33:AJ$65)*($M33:$M$65)*($C33:Y$65=$B32)),IF(NOT(ISNUMBER(Data!AC30)),0,ABS(($F32*100)-(Data!AC30-$I32)*$K32)),ABS(($F32*100)-(Data!AC30-$G32)*$K32))</f>
        <v>72.1212121212121</v>
      </c>
      <c r="AK32" s="64">
        <f>CHOOSE($E32,SUMPRODUCT((AK33:AK$65)*($M33:$M$65)*($C33:Z$65=$B32)),IF(NOT(ISNUMBER(Data!AD30)),0,ABS(($F32*100)-(Data!AD30-$I32)*$K32)),ABS(($F32*100)-(Data!AD30-$G32)*$K32))</f>
        <v>64.1414141414141</v>
      </c>
      <c r="AL32" s="64">
        <f>CHOOSE($E32,SUMPRODUCT((AL33:AL$65)*($M33:$M$65)*($C33:AA$65=$B32)),IF(NOT(ISNUMBER(Data!AE30)),0,ABS(($F32*100)-(Data!AE30-$I32)*$K32)),ABS(($F32*100)-(Data!AE30-$G32)*$K32))</f>
        <v>55.8585858585859</v>
      </c>
      <c r="AM32" s="64">
        <f>CHOOSE($E32,SUMPRODUCT((AM33:AM$65)*($M33:$M$65)*($C33:AB$65=$B32)),IF(NOT(ISNUMBER(Data!AF30)),0,ABS(($F32*100)-(Data!AF30-$I32)*$K32)),ABS(($F32*100)-(Data!AF30-$G32)*$K32))</f>
        <v>48.6868686868687</v>
      </c>
      <c r="AN32" s="64">
        <f>CHOOSE($E32,SUMPRODUCT((AN33:AN$65)*($M33:$M$65)*($C33:AC$65=$B32)),IF(NOT(ISNUMBER(Data!AG30)),0,ABS(($F32*100)-(Data!AG30-$I32)*$K32)),ABS(($F32*100)-(Data!AG30-$G32)*$K32))</f>
        <v>45.4545454545455</v>
      </c>
      <c r="AO32" s="64">
        <f>CHOOSE($E32,SUMPRODUCT((AO33:AO$65)*($M33:$M$65)*($C33:AD$65=$B32)),IF(NOT(ISNUMBER(Data!AH30)),0,ABS(($F32*100)-(Data!AH30-$I32)*$K32)),ABS(($F32*100)-(Data!AH30-$G32)*$K32))</f>
        <v>79.2929292929293</v>
      </c>
      <c r="AP32" s="64">
        <f>CHOOSE($E32,SUMPRODUCT((AP33:AP$65)*($M33:$M$65)*($C33:AE$65=$B32)),IF(NOT(ISNUMBER(Data!AI30)),0,ABS(($F32*100)-(Data!AI30-$I32)*$K32)),ABS(($F32*100)-(Data!AI30-$G32)*$K32))</f>
        <v>71.010101010101</v>
      </c>
      <c r="AQ32" s="64">
        <f>CHOOSE($E32,SUMPRODUCT((AQ33:AQ$65)*($M33:$M$65)*($C33:AF$65=$B32)),IF(NOT(ISNUMBER(Data!AJ30)),0,ABS(($F32*100)-(Data!AJ30-$I32)*$K32)),ABS(($F32*100)-(Data!AJ30-$G32)*$K32))</f>
        <v>78.5858585858586</v>
      </c>
      <c r="AR32" s="64">
        <f>CHOOSE($E32,SUMPRODUCT((AR33:AR$65)*($M33:$M$65)*($C33:AG$65=$B32)),IF(NOT(ISNUMBER(Data!AK30)),0,ABS(($F32*100)-(Data!AK30-$I32)*$K32)),ABS(($F32*100)-(Data!AK30-$G32)*$K32))</f>
        <v>72.9292929292929</v>
      </c>
      <c r="AS32" s="64">
        <f>CHOOSE($E32,SUMPRODUCT((AS33:AS$65)*($M33:$M$65)*($C33:AH$65=$B32)),IF(NOT(ISNUMBER(Data!AL30)),0,ABS(($F32*100)-(Data!AL30-$I32)*$K32)),ABS(($F32*100)-(Data!AL30-$G32)*$K32))</f>
        <v>62.5252525252525</v>
      </c>
      <c r="AT32" s="64">
        <f>CHOOSE($E32,SUMPRODUCT((AT33:AT$65)*($M33:$M$65)*($C33:AI$65=$B32)),IF(NOT(ISNUMBER(Data!AM30)),0,ABS(($F32*100)-(Data!AM30-$I32)*$K32)),ABS(($F32*100)-(Data!AM30-$G32)*$K32))</f>
        <v>47.979797979798</v>
      </c>
      <c r="AU32" s="64">
        <f>CHOOSE($E32,SUMPRODUCT((AU33:AU$65)*($M33:$M$65)*($C33:AJ$65=$B32)),IF(NOT(ISNUMBER(Data!AN30)),0,ABS(($F32*100)-(Data!AN30-$I32)*$K32)),ABS(($F32*100)-(Data!AN30-$G32)*$K32))</f>
        <v>54.7474747474748</v>
      </c>
      <c r="AV32" s="64">
        <f>CHOOSE($E32,SUMPRODUCT((AV33:AV$65)*($M33:$M$65)*($C33:AK$65=$B32)),IF(NOT(ISNUMBER(Data!AO30)),0,ABS(($F32*100)-(Data!AO30-$I32)*$K32)),ABS(($F32*100)-(Data!AO30-$G32)*$K32))</f>
        <v>58.5858585858586</v>
      </c>
      <c r="AW32" s="64">
        <f>CHOOSE($E32,SUMPRODUCT((AW33:AW$65)*($M33:$M$65)*($C33:AL$65=$B32)),IF(NOT(ISNUMBER(Data!AP30)),0,ABS(($F32*100)-(Data!AP30-$I32)*$K32)),ABS(($F32*100)-(Data!AP30-$G32)*$K32))</f>
        <v>34.3434343434343</v>
      </c>
      <c r="AX32" s="64">
        <f>CHOOSE($E32,SUMPRODUCT((AX33:AX$65)*($M33:$M$65)*($C33:AM$65=$B32)),IF(NOT(ISNUMBER(Data!AQ30)),0,ABS(($F32*100)-(Data!AQ30-$I32)*$K32)),ABS(($F32*100)-(Data!AQ30-$G32)*$K32))</f>
        <v>47.4747474747475</v>
      </c>
      <c r="AY32" s="64">
        <f>CHOOSE($E32,SUMPRODUCT((AY33:AY$65)*($M33:$M$65)*($C33:AN$65=$B32)),IF(NOT(ISNUMBER(Data!AR30)),0,ABS(($F32*100)-(Data!AR30-$I32)*$K32)),ABS(($F32*100)-(Data!AR30-$G32)*$K32))</f>
        <v>60.6060606060606</v>
      </c>
      <c r="AZ32" s="64">
        <f>CHOOSE($E32,SUMPRODUCT((AZ33:AZ$65)*($M33:$M$65)*($C33:AO$65=$B32)),IF(NOT(ISNUMBER(Data!AS30)),0,ABS(($F32*100)-(Data!AS30-$I32)*$K32)),ABS(($F32*100)-(Data!AS30-$G32)*$K32))</f>
        <v>90.4040404040404</v>
      </c>
      <c r="BA32" s="64">
        <f>CHOOSE($E32,SUMPRODUCT((BA33:BA$65)*($M33:$M$65)*($C33:AP$65=$B32)),IF(NOT(ISNUMBER(Data!AT30)),0,ABS(($F32*100)-(Data!AT30-$I32)*$K32)),ABS(($F32*100)-(Data!AT30-$G32)*$K32))</f>
        <v>85.3535353535354</v>
      </c>
      <c r="BB32" s="64">
        <f>CHOOSE($E32,SUMPRODUCT((BB33:BB$65)*($M33:$M$65)*($C33:AQ$65=$B32)),IF(NOT(ISNUMBER(Data!AU30)),0,ABS(($F32*100)-(Data!AU30-$I32)*$K32)),ABS(($F32*100)-(Data!AU30-$G32)*$K32))</f>
        <v>88.4848484848485</v>
      </c>
      <c r="BC32" s="64">
        <f>CHOOSE($E32,SUMPRODUCT((BC33:BC$65)*($M33:$M$65)*($C33:AR$65=$B32)),IF(NOT(ISNUMBER(Data!AV30)),0,ABS(($F32*100)-(Data!AV30-$I32)*$K32)),ABS(($F32*100)-(Data!AV30-$G32)*$K32))</f>
        <v>68.4848484848485</v>
      </c>
      <c r="BD32" s="64">
        <f>CHOOSE($E32,SUMPRODUCT((BD33:BD$65)*($M33:$M$65)*($C33:AS$65=$B32)),IF(NOT(ISNUMBER(Data!AW30)),0,ABS(($F32*100)-(Data!AW30-$I32)*$K32)),ABS(($F32*100)-(Data!AW30-$G32)*$K32))</f>
        <v>68.4848484848485</v>
      </c>
      <c r="BE32" s="64">
        <f>CHOOSE($E32,SUMPRODUCT((BE33:BE$65)*($M33:$M$65)*($C33:AT$65=$B32)),IF(NOT(ISNUMBER(Data!AX30)),0,ABS(($F32*100)-(Data!AX30-$I32)*$K32)),ABS(($F32*100)-(Data!AX30-$G32)*$K32))</f>
        <v>92.020202020202</v>
      </c>
      <c r="BF32" s="64">
        <f>CHOOSE($E32,SUMPRODUCT((BF33:BF$65)*($M33:$M$65)*($C33:AU$65=$B32)),IF(NOT(ISNUMBER(Data!AY30)),0,ABS(($F32*100)-(Data!AY30-$I32)*$K32)),ABS(($F32*100)-(Data!AY30-$G32)*$K32))</f>
        <v>67.089072543618</v>
      </c>
      <c r="BG32" s="64">
        <f>CHOOSE($E32,SUMPRODUCT((BG33:BG$65)*($M33:$M$65)*($C33:AV$65=$B32)),IF(NOT(ISNUMBER(Data!AZ30)),0,ABS(($F32*100)-(Data!AZ30-$I32)*$K32)),ABS(($F32*100)-(Data!AZ30-$G32)*$K32))</f>
        <v>85.7575757575758</v>
      </c>
      <c r="BH32" s="64">
        <f>CHOOSE($E32,SUMPRODUCT((BH33:BH$65)*($M33:$M$65)*($C33:AW$65=$B32)),IF(NOT(ISNUMBER(Data!BA30)),0,ABS(($F32*100)-(Data!BA30-$I32)*$K32)),ABS(($F32*100)-(Data!BA30-$G32)*$K32))</f>
        <v>85.7575757575758</v>
      </c>
      <c r="BI32" s="64">
        <f>CHOOSE($E32,SUMPRODUCT((BI33:BI$65)*($M33:$M$65)*($C33:AX$65=$B32)),IF(NOT(ISNUMBER(Data!BB30)),0,ABS(($F32*100)-(Data!BB30-$I32)*$K32)),ABS(($F32*100)-(Data!BB30-$G32)*$K32))</f>
        <v>88.6868686868687</v>
      </c>
      <c r="BJ32" s="64">
        <f>CHOOSE($E32,SUMPRODUCT((BJ33:BJ$65)*($M33:$M$65)*($C33:AY$65=$B32)),IF(NOT(ISNUMBER(Data!BC30)),0,ABS(($F32*100)-(Data!BC30-$I32)*$K32)),ABS(($F32*100)-(Data!BC30-$G32)*$K32))</f>
        <v>55.4545454545455</v>
      </c>
      <c r="BK32" s="64">
        <f>CHOOSE($E32,SUMPRODUCT((BK33:BK$65)*($M33:$M$65)*($C33:AZ$65=$B32)),IF(NOT(ISNUMBER(Data!BD30)),0,ABS(($F32*100)-(Data!BD30-$I32)*$K32)),ABS(($F32*100)-(Data!BD30-$G32)*$K32))</f>
        <v>85.6565656565657</v>
      </c>
      <c r="BM32" s="65"/>
    </row>
    <row r="33" s="22" customFormat="1" spans="1:65">
      <c r="A33" s="24"/>
      <c r="B33" s="24" t="str">
        <f>tblIndicators!B26</f>
        <v>HELSEC_OP_03</v>
      </c>
      <c r="C33" s="24" t="str">
        <f>tblIndicators!C26</f>
        <v>HELSEC_OP</v>
      </c>
      <c r="D33" s="52">
        <f>tblIndicators!D26</f>
        <v>3</v>
      </c>
      <c r="E33" s="52">
        <f>tblIndicators!M26</f>
        <v>2</v>
      </c>
      <c r="F33" s="52">
        <f>tblIndicators!N26</f>
        <v>0</v>
      </c>
      <c r="G33" s="52">
        <f>tblIndicators!Q26</f>
        <v>0</v>
      </c>
      <c r="H33" s="52">
        <f>tblIndicators!R26</f>
        <v>0</v>
      </c>
      <c r="I33" s="52">
        <f>IF($E33=2,MIN(Data!G31:BD31),"")</f>
        <v>59.6</v>
      </c>
      <c r="J33" s="52">
        <f>IF($E33=2,MAX(Data!G31:BD31),"")</f>
        <v>85.9</v>
      </c>
      <c r="K33" s="54">
        <f t="shared" si="2"/>
        <v>3.80228136882129</v>
      </c>
      <c r="L33" s="62" t="str">
        <f>tblIndicators!Z26</f>
        <v>2.2.3) Life expectancy</v>
      </c>
      <c r="M33" s="63">
        <f>tblIndicators!AC26</f>
        <v>0.2</v>
      </c>
      <c r="N33" s="64">
        <f>CHOOSE($E33,SUMPRODUCT((N34:N$65)*($M34:$M$65)*($C34:C$65=$B33)),IF(NOT(ISNUMBER(Data!G31)),0,ABS(($F33*100)-(Data!G31-$I33)*$K33)),ABS(($F33*100)-(Data!G31-$G33)*$K33))</f>
        <v>86.6920152091255</v>
      </c>
      <c r="O33" s="64">
        <f>CHOOSE($E33,SUMPRODUCT((O34:O$65)*($M34:$M$65)*($C34:D$65=$B33)),IF(NOT(ISNUMBER(Data!H31)),0,ABS(($F33*100)-(Data!H31-$I33)*$K33)),ABS(($F33*100)-(Data!H31-$G33)*$K33))</f>
        <v>0</v>
      </c>
      <c r="P33" s="64">
        <f>CHOOSE($E33,SUMPRODUCT((P34:P$65)*($M34:$M$65)*($C34:E$65=$B33)),IF(NOT(ISNUMBER(Data!I31)),0,ABS(($F33*100)-(Data!I31-$I33)*$K33)),ABS(($F33*100)-(Data!I31-$G33)*$K33))</f>
        <v>63.8783269961977</v>
      </c>
      <c r="Q33" s="64">
        <f>CHOOSE($E33,SUMPRODUCT((Q34:Q$65)*($M34:$M$65)*($C34:F$65=$B33)),IF(NOT(ISNUMBER(Data!J31)),0,ABS(($F33*100)-(Data!J31-$I33)*$K33)),ABS(($F33*100)-(Data!J31-$G33)*$K33))</f>
        <v>43.3460076045627</v>
      </c>
      <c r="R33" s="64">
        <f>CHOOSE($E33,SUMPRODUCT((R34:R$65)*($M34:$M$65)*($C34:G$65=$B33)),IF(NOT(ISNUMBER(Data!K31)),0,ABS(($F33*100)-(Data!K31-$I33)*$K33)),ABS(($F33*100)-(Data!K31-$G33)*$K33))</f>
        <v>50</v>
      </c>
      <c r="S33" s="64">
        <f>CHOOSE($E33,SUMPRODUCT((S34:S$65)*($M34:$M$65)*($C34:H$65=$B33)),IF(NOT(ISNUMBER(Data!L31)),0,ABS(($F33*100)-(Data!L31-$I33)*$K33)),ABS(($F33*100)-(Data!L31-$G33)*$K33))</f>
        <v>78.7072243346007</v>
      </c>
      <c r="T33" s="64">
        <f>CHOOSE($E33,SUMPRODUCT((T34:T$65)*($M34:$M$65)*($C34:I$65=$B33)),IF(NOT(ISNUMBER(Data!M31)),0,ABS(($F33*100)-(Data!M31-$I33)*$K33)),ABS(($F33*100)-(Data!M31-$G33)*$K33))</f>
        <v>77.1863117870722</v>
      </c>
      <c r="U33" s="64">
        <f>CHOOSE($E33,SUMPRODUCT((U34:U$65)*($M34:$M$65)*($C34:J$65=$B33)),IF(NOT(ISNUMBER(Data!N31)),0,ABS(($F33*100)-(Data!N31-$I33)*$K33)),ABS(($F33*100)-(Data!N31-$G33)*$K33))</f>
        <v>79.8479087452471</v>
      </c>
      <c r="V33" s="64">
        <f>CHOOSE($E33,SUMPRODUCT((V34:V$65)*($M34:$M$65)*($C34:K$65=$B33)),IF(NOT(ISNUMBER(Data!O31)),0,ABS(($F33*100)-(Data!O31-$I33)*$K33)),ABS(($F33*100)-(Data!O31-$G33)*$K33))</f>
        <v>82.1292775665399</v>
      </c>
      <c r="W33" s="64">
        <f>CHOOSE($E33,SUMPRODUCT((W34:W$65)*($M34:$M$65)*($C34:L$65=$B33)),IF(NOT(ISNUMBER(Data!P31)),0,ABS(($F33*100)-(Data!P31-$I33)*$K33)),ABS(($F33*100)-(Data!P31-$G33)*$K33))</f>
        <v>69.2015209125475</v>
      </c>
      <c r="X33" s="64">
        <f>CHOOSE($E33,SUMPRODUCT((X34:X$65)*($M34:$M$65)*($C34:M$65=$B33)),IF(NOT(ISNUMBER(Data!Q31)),0,ABS(($F33*100)-(Data!Q31-$I33)*$K33)),ABS(($F33*100)-(Data!Q31-$G33)*$K33))</f>
        <v>65.7794676806084</v>
      </c>
      <c r="Y33" s="64">
        <f>CHOOSE($E33,SUMPRODUCT((Y34:Y$65)*($M34:$M$65)*($C34:N$65=$B33)),IF(NOT(ISNUMBER(Data!R31)),0,ABS(($F33*100)-(Data!R31-$I33)*$K33)),ABS(($F33*100)-(Data!R31-$G33)*$K33))</f>
        <v>55.1330798479087</v>
      </c>
      <c r="Z33" s="64">
        <f>CHOOSE($E33,SUMPRODUCT((Z34:Z$65)*($M34:$M$65)*($C34:O$65=$B33)),IF(NOT(ISNUMBER(Data!S31)),0,ABS(($F33*100)-(Data!S31-$I33)*$K33)),ABS(($F33*100)-(Data!S31-$G33)*$K33))</f>
        <v>71.6349809885931</v>
      </c>
      <c r="AA33" s="64">
        <f>CHOOSE($E33,SUMPRODUCT((AA34:AA$65)*($M34:$M$65)*($C34:P$65=$B33)),IF(NOT(ISNUMBER(Data!T31)),0,ABS(($F33*100)-(Data!T31-$I33)*$K33)),ABS(($F33*100)-(Data!T31-$G33)*$K33))</f>
        <v>80.9885931558935</v>
      </c>
      <c r="AB33" s="64">
        <f>CHOOSE($E33,SUMPRODUCT((AB34:AB$65)*($M34:$M$65)*($C34:Q$65=$B33)),IF(NOT(ISNUMBER(Data!U31)),0,ABS(($F33*100)-(Data!U31-$I33)*$K33)),ABS(($F33*100)-(Data!U31-$G33)*$K33))</f>
        <v>60.8745247148289</v>
      </c>
      <c r="AC33" s="64">
        <f>CHOOSE($E33,SUMPRODUCT((AC34:AC$65)*($M34:$M$65)*($C34:R$65=$B33)),IF(NOT(ISNUMBER(Data!V31)),0,ABS(($F33*100)-(Data!V31-$I33)*$K33)),ABS(($F33*100)-(Data!V31-$G33)*$K33))</f>
        <v>82.8897338403042</v>
      </c>
      <c r="AD33" s="64">
        <f>CHOOSE($E33,SUMPRODUCT((AD34:AD$65)*($M34:$M$65)*($C34:S$65=$B33)),IF(NOT(ISNUMBER(Data!W31)),0,ABS(($F33*100)-(Data!W31-$I33)*$K33)),ABS(($F33*100)-(Data!W31-$G33)*$K33))</f>
        <v>100</v>
      </c>
      <c r="AE33" s="64">
        <f>CHOOSE($E33,SUMPRODUCT((AE34:AE$65)*($M34:$M$65)*($C34:T$65=$B33)),IF(NOT(ISNUMBER(Data!X31)),0,ABS(($F33*100)-(Data!X31-$I33)*$K33)),ABS(($F33*100)-(Data!X31-$G33)*$K33))</f>
        <v>92.6235741444866</v>
      </c>
      <c r="AF33" s="64">
        <f>CHOOSE($E33,SUMPRODUCT((AF34:AF$65)*($M34:$M$65)*($C34:U$65=$B33)),IF(NOT(ISNUMBER(Data!Y31)),0,ABS(($F33*100)-(Data!Y31-$I33)*$K33)),ABS(($F33*100)-(Data!Y31-$G33)*$K33))</f>
        <v>82.6996197718631</v>
      </c>
      <c r="AG33" s="64">
        <f>CHOOSE($E33,SUMPRODUCT((AG34:AG$65)*($M34:$M$65)*($C34:V$65=$B33)),IF(NOT(ISNUMBER(Data!Z31)),0,ABS(($F33*100)-(Data!Z31-$I33)*$K33)),ABS(($F33*100)-(Data!Z31-$G33)*$K33))</f>
        <v>78.5551330798479</v>
      </c>
      <c r="AH33" s="64">
        <f>CHOOSE($E33,SUMPRODUCT((AH34:AH$65)*($M34:$M$65)*($C34:W$65=$B33)),IF(NOT(ISNUMBER(Data!AA31)),0,ABS(($F33*100)-(Data!AA31-$I33)*$K33)),ABS(($F33*100)-(Data!AA31-$G33)*$K33))</f>
        <v>59.6958174904943</v>
      </c>
      <c r="AI33" s="64">
        <f>CHOOSE($E33,SUMPRODUCT((AI34:AI$65)*($M34:$M$65)*($C34:X$65=$B33)),IF(NOT(ISNUMBER(Data!AB31)),0,ABS(($F33*100)-(Data!AB31-$I33)*$K33)),ABS(($F33*100)-(Data!AB31-$G33)*$K33))</f>
        <v>64.2205323193916</v>
      </c>
      <c r="AJ33" s="64">
        <f>CHOOSE($E33,SUMPRODUCT((AJ34:AJ$65)*($M34:$M$65)*($C34:Y$65=$B33)),IF(NOT(ISNUMBER(Data!AC31)),0,ABS(($F33*100)-(Data!AC31-$I33)*$K33)),ABS(($F33*100)-(Data!AC31-$G33)*$K33))</f>
        <v>73.3460076045627</v>
      </c>
      <c r="AK33" s="64">
        <f>CHOOSE($E33,SUMPRODUCT((AK34:AK$65)*($M34:$M$65)*($C34:Z$65=$B33)),IF(NOT(ISNUMBER(Data!AD31)),0,ABS(($F33*100)-(Data!AD31-$I33)*$K33)),ABS(($F33*100)-(Data!AD31-$G33)*$K33))</f>
        <v>43.3460076045627</v>
      </c>
      <c r="AL33" s="64">
        <f>CHOOSE($E33,SUMPRODUCT((AL34:AL$65)*($M34:$M$65)*($C34:AA$65=$B33)),IF(NOT(ISNUMBER(Data!AE31)),0,ABS(($F33*100)-(Data!AE31-$I33)*$K33)),ABS(($F33*100)-(Data!AE31-$G33)*$K33))</f>
        <v>38.0228136882129</v>
      </c>
      <c r="AM33" s="64">
        <f>CHOOSE($E33,SUMPRODUCT((AM34:AM$65)*($M34:$M$65)*($C34:AB$65=$B33)),IF(NOT(ISNUMBER(Data!AF31)),0,ABS(($F33*100)-(Data!AF31-$I33)*$K33)),ABS(($F33*100)-(Data!AF31-$G33)*$K33))</f>
        <v>51.8250950570342</v>
      </c>
      <c r="AN33" s="64">
        <f>CHOOSE($E33,SUMPRODUCT((AN34:AN$65)*($M34:$M$65)*($C34:AC$65=$B33)),IF(NOT(ISNUMBER(Data!AG31)),0,ABS(($F33*100)-(Data!AG31-$I33)*$K33)),ABS(($F33*100)-(Data!AG31-$G33)*$K33))</f>
        <v>64.2585551330798</v>
      </c>
      <c r="AO33" s="64">
        <f>CHOOSE($E33,SUMPRODUCT((AO34:AO$65)*($M34:$M$65)*($C34:AD$65=$B33)),IF(NOT(ISNUMBER(Data!AH31)),0,ABS(($F33*100)-(Data!AH31-$I33)*$K33)),ABS(($F33*100)-(Data!AH31-$G33)*$K33))</f>
        <v>86.9201520912547</v>
      </c>
      <c r="AP33" s="64">
        <f>CHOOSE($E33,SUMPRODUCT((AP34:AP$65)*($M34:$M$65)*($C34:AE$65=$B33)),IF(NOT(ISNUMBER(Data!AI31)),0,ABS(($F33*100)-(Data!AI31-$I33)*$K33)),ABS(($F33*100)-(Data!AI31-$G33)*$K33))</f>
        <v>89.7338403041825</v>
      </c>
      <c r="AQ33" s="64">
        <f>CHOOSE($E33,SUMPRODUCT((AQ34:AQ$65)*($M34:$M$65)*($C34:AF$65=$B33)),IF(NOT(ISNUMBER(Data!AJ31)),0,ABS(($F33*100)-(Data!AJ31-$I33)*$K33)),ABS(($F33*100)-(Data!AJ31-$G33)*$K33))</f>
        <v>84.4106463878327</v>
      </c>
      <c r="AR33" s="64">
        <f>CHOOSE($E33,SUMPRODUCT((AR34:AR$65)*($M34:$M$65)*($C34:AG$65=$B33)),IF(NOT(ISNUMBER(Data!AK31)),0,ABS(($F33*100)-(Data!AK31-$I33)*$K33)),ABS(($F33*100)-(Data!AK31-$G33)*$K33))</f>
        <v>89.2015209125475</v>
      </c>
      <c r="AS33" s="64">
        <f>CHOOSE($E33,SUMPRODUCT((AS34:AS$65)*($M34:$M$65)*($C34:AH$65=$B33)),IF(NOT(ISNUMBER(Data!AL31)),0,ABS(($F33*100)-(Data!AL31-$I33)*$K33)),ABS(($F33*100)-(Data!AL31-$G33)*$K33))</f>
        <v>87.680608365019</v>
      </c>
      <c r="AT33" s="64">
        <f>CHOOSE($E33,SUMPRODUCT((AT34:AT$65)*($M34:$M$65)*($C34:AI$65=$B33)),IF(NOT(ISNUMBER(Data!AM31)),0,ABS(($F33*100)-(Data!AM31-$I33)*$K33)),ABS(($F33*100)-(Data!AM31-$G33)*$K33))</f>
        <v>54.3726235741445</v>
      </c>
      <c r="AU33" s="64">
        <f>CHOOSE($E33,SUMPRODUCT((AU34:AU$65)*($M34:$M$65)*($C34:AJ$65=$B33)),IF(NOT(ISNUMBER(Data!AN31)),0,ABS(($F33*100)-(Data!AN31-$I33)*$K33)),ABS(($F33*100)-(Data!AN31-$G33)*$K33))</f>
        <v>49.6197718631179</v>
      </c>
      <c r="AV33" s="64">
        <f>CHOOSE($E33,SUMPRODUCT((AV34:AV$65)*($M34:$M$65)*($C34:AK$65=$B33)),IF(NOT(ISNUMBER(Data!AO31)),0,ABS(($F33*100)-(Data!AO31-$I33)*$K33)),ABS(($F33*100)-(Data!AO31-$G33)*$K33))</f>
        <v>68.5931558935361</v>
      </c>
      <c r="AW33" s="64">
        <f>CHOOSE($E33,SUMPRODUCT((AW34:AW$65)*($M34:$M$65)*($C34:AL$65=$B33)),IF(NOT(ISNUMBER(Data!AP31)),0,ABS(($F33*100)-(Data!AP31-$I33)*$K33)),ABS(($F33*100)-(Data!AP31-$G33)*$K33))</f>
        <v>71.0266159695817</v>
      </c>
      <c r="AX33" s="64">
        <f>CHOOSE($E33,SUMPRODUCT((AX34:AX$65)*($M34:$M$65)*($C34:AM$65=$B33)),IF(NOT(ISNUMBER(Data!AQ31)),0,ABS(($F33*100)-(Data!AQ31-$I33)*$K33)),ABS(($F33*100)-(Data!AQ31-$G33)*$K33))</f>
        <v>58.5551330798479</v>
      </c>
      <c r="AY33" s="64">
        <f>CHOOSE($E33,SUMPRODUCT((AY34:AY$65)*($M34:$M$65)*($C34:AN$65=$B33)),IF(NOT(ISNUMBER(Data!AR31)),0,ABS(($F33*100)-(Data!AR31-$I33)*$K33)),ABS(($F33*100)-(Data!AR31-$G33)*$K33))</f>
        <v>66.1596958174905</v>
      </c>
      <c r="AZ33" s="64">
        <f>CHOOSE($E33,SUMPRODUCT((AZ34:AZ$65)*($M34:$M$65)*($C34:AO$65=$B33)),IF(NOT(ISNUMBER(Data!AS31)),0,ABS(($F33*100)-(Data!AS31-$I33)*$K33)),ABS(($F33*100)-(Data!AS31-$G33)*$K33))</f>
        <v>79.467680608365</v>
      </c>
      <c r="BA33" s="64">
        <f>CHOOSE($E33,SUMPRODUCT((BA34:BA$65)*($M34:$M$65)*($C34:AP$65=$B33)),IF(NOT(ISNUMBER(Data!AT31)),0,ABS(($F33*100)-(Data!AT31-$I33)*$K33)),ABS(($F33*100)-(Data!AT31-$G33)*$K33))</f>
        <v>83.1178707224334</v>
      </c>
      <c r="BB33" s="64">
        <f>CHOOSE($E33,SUMPRODUCT((BB34:BB$65)*($M34:$M$65)*($C34:AQ$65=$B33)),IF(NOT(ISNUMBER(Data!AU31)),0,ABS(($F33*100)-(Data!AU31-$I33)*$K33)),ABS(($F33*100)-(Data!AU31-$G33)*$K33))</f>
        <v>74.7528517110266</v>
      </c>
      <c r="BC33" s="64">
        <f>CHOOSE($E33,SUMPRODUCT((BC34:BC$65)*($M34:$M$65)*($C34:AR$65=$B33)),IF(NOT(ISNUMBER(Data!AV31)),0,ABS(($F33*100)-(Data!AV31-$I33)*$K33)),ABS(($F33*100)-(Data!AV31-$G33)*$K33))</f>
        <v>86.6920152091255</v>
      </c>
      <c r="BD33" s="64">
        <f>CHOOSE($E33,SUMPRODUCT((BD34:BD$65)*($M34:$M$65)*($C34:AS$65=$B33)),IF(NOT(ISNUMBER(Data!AW31)),0,ABS(($F33*100)-(Data!AW31-$I33)*$K33)),ABS(($F33*100)-(Data!AW31-$G33)*$K33))</f>
        <v>88.212927756654</v>
      </c>
      <c r="BE33" s="64">
        <f>CHOOSE($E33,SUMPRODUCT((BE34:BE$65)*($M34:$M$65)*($C34:AT$65=$B33)),IF(NOT(ISNUMBER(Data!AX31)),0,ABS(($F33*100)-(Data!AX31-$I33)*$K33)),ABS(($F33*100)-(Data!AX31-$G33)*$K33))</f>
        <v>73.1558935361217</v>
      </c>
      <c r="BF33" s="64">
        <f>CHOOSE($E33,SUMPRODUCT((BF34:BF$65)*($M34:$M$65)*($C34:AU$65=$B33)),IF(NOT(ISNUMBER(Data!AY31)),0,ABS(($F33*100)-(Data!AY31-$I33)*$K33)),ABS(($F33*100)-(Data!AY31-$G33)*$K33))</f>
        <v>60.4562737642585</v>
      </c>
      <c r="BG33" s="64">
        <f>CHOOSE($E33,SUMPRODUCT((BG34:BG$65)*($M34:$M$65)*($C34:AV$65=$B33)),IF(NOT(ISNUMBER(Data!AZ31)),0,ABS(($F33*100)-(Data!AZ31-$I33)*$K33)),ABS(($F33*100)-(Data!AZ31-$G33)*$K33))</f>
        <v>85.9315589353612</v>
      </c>
      <c r="BH33" s="64">
        <f>CHOOSE($E33,SUMPRODUCT((BH34:BH$65)*($M34:$M$65)*($C34:AW$65=$B33)),IF(NOT(ISNUMBER(Data!BA31)),0,ABS(($F33*100)-(Data!BA31-$I33)*$K33)),ABS(($F33*100)-(Data!BA31-$G33)*$K33))</f>
        <v>85.9315589353612</v>
      </c>
      <c r="BI33" s="64">
        <f>CHOOSE($E33,SUMPRODUCT((BI34:BI$65)*($M34:$M$65)*($C34:AX$65=$B33)),IF(NOT(ISNUMBER(Data!BB31)),0,ABS(($F33*100)-(Data!BB31-$I33)*$K33)),ABS(($F33*100)-(Data!BB31-$G33)*$K33))</f>
        <v>90.9505703422053</v>
      </c>
      <c r="BJ33" s="64">
        <f>CHOOSE($E33,SUMPRODUCT((BJ34:BJ$65)*($M34:$M$65)*($C34:AY$65=$B33)),IF(NOT(ISNUMBER(Data!BC31)),0,ABS(($F33*100)-(Data!BC31-$I33)*$K33)),ABS(($F33*100)-(Data!BC31-$G33)*$K33))</f>
        <v>48.6692015209126</v>
      </c>
      <c r="BK33" s="64">
        <f>CHOOSE($E33,SUMPRODUCT((BK34:BK$65)*($M34:$M$65)*($C34:AZ$65=$B33)),IF(NOT(ISNUMBER(Data!BD31)),0,ABS(($F33*100)-(Data!BD31-$I33)*$K33)),ABS(($F33*100)-(Data!BD31-$G33)*$K33))</f>
        <v>83.6882129277566</v>
      </c>
      <c r="BM33" s="65"/>
    </row>
    <row r="34" s="22" customFormat="1" spans="1:65">
      <c r="A34" s="24"/>
      <c r="B34" s="24" t="str">
        <f>tblIndicators!B27</f>
        <v>HELSEC_OP_04</v>
      </c>
      <c r="C34" s="24" t="str">
        <f>tblIndicators!C27</f>
        <v>HELSEC_OP</v>
      </c>
      <c r="D34" s="52">
        <f>tblIndicators!D27</f>
        <v>3</v>
      </c>
      <c r="E34" s="52">
        <f>tblIndicators!M27</f>
        <v>2</v>
      </c>
      <c r="F34" s="52">
        <f>tblIndicators!N27</f>
        <v>1</v>
      </c>
      <c r="G34" s="52">
        <f>tblIndicators!Q27</f>
        <v>0</v>
      </c>
      <c r="H34" s="52">
        <f>tblIndicators!R27</f>
        <v>0</v>
      </c>
      <c r="I34" s="52">
        <f>IF($E34=2,MIN(Data!G32:BD32),"")</f>
        <v>0.8</v>
      </c>
      <c r="J34" s="52">
        <f>IF($E34=2,MAX(Data!G32:BD32),"")</f>
        <v>39</v>
      </c>
      <c r="K34" s="54">
        <f t="shared" si="2"/>
        <v>2.61780104712042</v>
      </c>
      <c r="L34" s="62" t="str">
        <f>tblIndicators!Z27</f>
        <v>2.2.4) Infant mortality (deaths per 1,000 live births)</v>
      </c>
      <c r="M34" s="63">
        <f>tblIndicators!AC27</f>
        <v>0.2</v>
      </c>
      <c r="N34" s="64">
        <f>CHOOSE($E34,SUMPRODUCT((N35:N$65)*($M35:$M$65)*($C35:C$65=$B34)),IF(NOT(ISNUMBER(Data!G32)),0,ABS(($F34*100)-(Data!G32-$I34)*$K34)),ABS(($F34*100)-(Data!G32-$G34)*$K34))</f>
        <v>96.8586387434555</v>
      </c>
      <c r="O34" s="64">
        <f>CHOOSE($E34,SUMPRODUCT((O35:O$65)*($M35:$M$65)*($C35:D$65=$B34)),IF(NOT(ISNUMBER(Data!H32)),0,ABS(($F34*100)-(Data!H32-$I34)*$K34)),ABS(($F34*100)-(Data!H32-$G34)*$K34))</f>
        <v>89.0052356020942</v>
      </c>
      <c r="P34" s="64">
        <f>CHOOSE($E34,SUMPRODUCT((P35:P$65)*($M35:$M$65)*($C35:E$65=$B34)),IF(NOT(ISNUMBER(Data!I32)),0,ABS(($F34*100)-(Data!I32-$I34)*$K34)),ABS(($F34*100)-(Data!I32-$G34)*$K34))</f>
        <v>80.8900523560209</v>
      </c>
      <c r="Q34" s="64">
        <f>CHOOSE($E34,SUMPRODUCT((Q35:Q$65)*($M35:$M$65)*($C35:F$65=$B34)),IF(NOT(ISNUMBER(Data!J32)),0,ABS(($F34*100)-(Data!J32-$I34)*$K34)),ABS(($F34*100)-(Data!J32-$G34)*$K34))</f>
        <v>69.6335078534031</v>
      </c>
      <c r="R34" s="64">
        <f>CHOOSE($E34,SUMPRODUCT((R35:R$65)*($M35:$M$65)*($C35:G$65=$B34)),IF(NOT(ISNUMBER(Data!K32)),0,ABS(($F34*100)-(Data!K32-$I34)*$K34)),ABS(($F34*100)-(Data!K32-$G34)*$K34))</f>
        <v>50.0523560209424</v>
      </c>
      <c r="S34" s="64">
        <f>CHOOSE($E34,SUMPRODUCT((S35:S$65)*($M35:$M$65)*($C35:H$65=$B34)),IF(NOT(ISNUMBER(Data!L32)),0,ABS(($F34*100)-(Data!L32-$I34)*$K34)),ABS(($F34*100)-(Data!L32-$G34)*$K34))</f>
        <v>89.7905759162304</v>
      </c>
      <c r="T34" s="64">
        <f>CHOOSE($E34,SUMPRODUCT((T35:T$65)*($M35:$M$65)*($C35:I$65=$B34)),IF(NOT(ISNUMBER(Data!M32)),0,ABS(($F34*100)-(Data!M32-$I34)*$K34)),ABS(($F34*100)-(Data!M32-$G34)*$K34))</f>
        <v>94.5026178010471</v>
      </c>
      <c r="U34" s="64">
        <f>CHOOSE($E34,SUMPRODUCT((U35:U$65)*($M35:$M$65)*($C35:J$65=$B34)),IF(NOT(ISNUMBER(Data!N32)),0,ABS(($F34*100)-(Data!N32-$I34)*$K34)),ABS(($F34*100)-(Data!N32-$G34)*$K34))</f>
        <v>85.3403141361257</v>
      </c>
      <c r="V34" s="64">
        <f>CHOOSE($E34,SUMPRODUCT((V35:V$65)*($M35:$M$65)*($C35:K$65=$B34)),IF(NOT(ISNUMBER(Data!O32)),0,ABS(($F34*100)-(Data!O32-$I34)*$K34)),ABS(($F34*100)-(Data!O32-$G34)*$K34))</f>
        <v>89.2670157068063</v>
      </c>
      <c r="W34" s="64">
        <f>CHOOSE($E34,SUMPRODUCT((W35:W$65)*($M35:$M$65)*($C35:L$65=$B34)),IF(NOT(ISNUMBER(Data!P32)),0,ABS(($F34*100)-(Data!P32-$I34)*$K34)),ABS(($F34*100)-(Data!P32-$G34)*$K34))</f>
        <v>84.2931937172775</v>
      </c>
      <c r="X34" s="64">
        <f>CHOOSE($E34,SUMPRODUCT((X35:X$65)*($M35:$M$65)*($C35:M$65=$B34)),IF(NOT(ISNUMBER(Data!Q32)),0,ABS(($F34*100)-(Data!Q32-$I34)*$K34)),ABS(($F34*100)-(Data!Q32-$G34)*$K34))</f>
        <v>54.9738219895288</v>
      </c>
      <c r="Y34" s="64">
        <f>CHOOSE($E34,SUMPRODUCT((Y35:Y$65)*($M35:$M$65)*($C35:N$65=$B34)),IF(NOT(ISNUMBER(Data!R32)),0,ABS(($F34*100)-(Data!R32-$I34)*$K34)),ABS(($F34*100)-(Data!R32-$G34)*$K34))</f>
        <v>75.9162303664922</v>
      </c>
      <c r="Z34" s="64">
        <f>CHOOSE($E34,SUMPRODUCT((Z35:Z$65)*($M35:$M$65)*($C35:O$65=$B34)),IF(NOT(ISNUMBER(Data!S32)),0,ABS(($F34*100)-(Data!S32-$I34)*$K34)),ABS(($F34*100)-(Data!S32-$G34)*$K34))</f>
        <v>83.5078534031414</v>
      </c>
      <c r="AA34" s="64">
        <f>CHOOSE($E34,SUMPRODUCT((AA35:AA$65)*($M35:$M$65)*($C35:P$65=$B34)),IF(NOT(ISNUMBER(Data!T32)),0,ABS(($F34*100)-(Data!T32-$I34)*$K34)),ABS(($F34*100)-(Data!T32-$G34)*$K34))</f>
        <v>89.7905759162304</v>
      </c>
      <c r="AB34" s="64">
        <f>CHOOSE($E34,SUMPRODUCT((AB35:AB$65)*($M35:$M$65)*($C35:Q$65=$B34)),IF(NOT(ISNUMBER(Data!U32)),0,ABS(($F34*100)-(Data!U32-$I34)*$K34)),ABS(($F34*100)-(Data!U32-$G34)*$K34))</f>
        <v>88.7434554973822</v>
      </c>
      <c r="AC34" s="64">
        <f>CHOOSE($E34,SUMPRODUCT((AC35:AC$65)*($M35:$M$65)*($C35:R$65=$B34)),IF(NOT(ISNUMBER(Data!V32)),0,ABS(($F34*100)-(Data!V32-$I34)*$K34)),ABS(($F34*100)-(Data!V32-$G34)*$K34))</f>
        <v>93.717277486911</v>
      </c>
      <c r="AD34" s="64">
        <f>CHOOSE($E34,SUMPRODUCT((AD35:AD$65)*($M35:$M$65)*($C35:S$65=$B34)),IF(NOT(ISNUMBER(Data!W32)),0,ABS(($F34*100)-(Data!W32-$I34)*$K34)),ABS(($F34*100)-(Data!W32-$G34)*$K34))</f>
        <v>93.455497382199</v>
      </c>
      <c r="AE34" s="64">
        <f>CHOOSE($E34,SUMPRODUCT((AE35:AE$65)*($M35:$M$65)*($C35:T$65=$B34)),IF(NOT(ISNUMBER(Data!X32)),0,ABS(($F34*100)-(Data!X32-$I34)*$K34)),ABS(($F34*100)-(Data!X32-$G34)*$K34))</f>
        <v>98.6910994764398</v>
      </c>
      <c r="AF34" s="64">
        <f>CHOOSE($E34,SUMPRODUCT((AF35:AF$65)*($M35:$M$65)*($C35:U$65=$B34)),IF(NOT(ISNUMBER(Data!Y32)),0,ABS(($F34*100)-(Data!Y32-$I34)*$K34)),ABS(($F34*100)-(Data!Y32-$G34)*$K34))</f>
        <v>94.6596858638743</v>
      </c>
      <c r="AG34" s="64">
        <f>CHOOSE($E34,SUMPRODUCT((AG35:AG$65)*($M35:$M$65)*($C35:V$65=$B34)),IF(NOT(ISNUMBER(Data!Z32)),0,ABS(($F34*100)-(Data!Z32-$I34)*$K34)),ABS(($F34*100)-(Data!Z32-$G34)*$K34))</f>
        <v>87.1727748691099</v>
      </c>
      <c r="AH34" s="64">
        <f>CHOOSE($E34,SUMPRODUCT((AH35:AH$65)*($M35:$M$65)*($C35:W$65=$B34)),IF(NOT(ISNUMBER(Data!AA32)),0,ABS(($F34*100)-(Data!AA32-$I34)*$K34)),ABS(($F34*100)-(Data!AA32-$G34)*$K34))</f>
        <v>70.6806282722513</v>
      </c>
      <c r="AI34" s="64">
        <f>CHOOSE($E34,SUMPRODUCT((AI35:AI$65)*($M35:$M$65)*($C35:X$65=$B34)),IF(NOT(ISNUMBER(Data!AB32)),0,ABS(($F34*100)-(Data!AB32-$I34)*$K34)),ABS(($F34*100)-(Data!AB32-$G34)*$K34))</f>
        <v>70.6806282722513</v>
      </c>
      <c r="AJ34" s="64">
        <f>CHOOSE($E34,SUMPRODUCT((AJ35:AJ$65)*($M35:$M$65)*($C35:Y$65=$B34)),IF(NOT(ISNUMBER(Data!AC32)),0,ABS(($F34*100)-(Data!AC32-$I34)*$K34)),ABS(($F34*100)-(Data!AC32-$G34)*$K34))</f>
        <v>70.6806282722513</v>
      </c>
      <c r="AK34" s="64">
        <f>CHOOSE($E34,SUMPRODUCT((AK35:AK$65)*($M35:$M$65)*($C35:Z$65=$B34)),IF(NOT(ISNUMBER(Data!AD32)),0,ABS(($F34*100)-(Data!AD32-$I34)*$K34)),ABS(($F34*100)-(Data!AD32-$G34)*$K34))</f>
        <v>11.5183246073298</v>
      </c>
      <c r="AL34" s="64">
        <f>CHOOSE($E34,SUMPRODUCT((AL35:AL$65)*($M35:$M$65)*($C35:AA$65=$B34)),IF(NOT(ISNUMBER(Data!AE32)),0,ABS(($F34*100)-(Data!AE32-$I34)*$K34)),ABS(($F34*100)-(Data!AE32-$G34)*$K34))</f>
        <v>39.4502617801047</v>
      </c>
      <c r="AM34" s="64">
        <f>CHOOSE($E34,SUMPRODUCT((AM35:AM$65)*($M35:$M$65)*($C35:AB$65=$B34)),IF(NOT(ISNUMBER(Data!AF32)),0,ABS(($F34*100)-(Data!AF32-$I34)*$K34)),ABS(($F34*100)-(Data!AF32-$G34)*$K34))</f>
        <v>65.4450261780105</v>
      </c>
      <c r="AN34" s="64">
        <f>CHOOSE($E34,SUMPRODUCT((AN35:AN$65)*($M35:$M$65)*($C35:AC$65=$B34)),IF(NOT(ISNUMBER(Data!AG32)),0,ABS(($F34*100)-(Data!AG32-$I34)*$K34)),ABS(($F34*100)-(Data!AG32-$G34)*$K34))</f>
        <v>0</v>
      </c>
      <c r="AO34" s="64">
        <f>CHOOSE($E34,SUMPRODUCT((AO35:AO$65)*($M35:$M$65)*($C35:AD$65=$B34)),IF(NOT(ISNUMBER(Data!AH32)),0,ABS(($F34*100)-(Data!AH32-$I34)*$K34)),ABS(($F34*100)-(Data!AH32-$G34)*$K34))</f>
        <v>96.3350785340314</v>
      </c>
      <c r="AP34" s="64">
        <f>CHOOSE($E34,SUMPRODUCT((AP35:AP$65)*($M35:$M$65)*($C35:AE$65=$B34)),IF(NOT(ISNUMBER(Data!AI32)),0,ABS(($F34*100)-(Data!AI32-$I34)*$K34)),ABS(($F34*100)-(Data!AI32-$G34)*$K34))</f>
        <v>96.5968586387435</v>
      </c>
      <c r="AQ34" s="64">
        <f>CHOOSE($E34,SUMPRODUCT((AQ35:AQ$65)*($M35:$M$65)*($C35:AF$65=$B34)),IF(NOT(ISNUMBER(Data!AJ32)),0,ABS(($F34*100)-(Data!AJ32-$I34)*$K34)),ABS(($F34*100)-(Data!AJ32-$G34)*$K34))</f>
        <v>95.0261780104712</v>
      </c>
      <c r="AR34" s="64">
        <f>CHOOSE($E34,SUMPRODUCT((AR35:AR$65)*($M35:$M$65)*($C35:AG$65=$B34)),IF(NOT(ISNUMBER(Data!AK32)),0,ABS(($F34*100)-(Data!AK32-$I34)*$K34)),ABS(($F34*100)-(Data!AK32-$G34)*$K34))</f>
        <v>89.6073298429319</v>
      </c>
      <c r="AS34" s="64">
        <f>CHOOSE($E34,SUMPRODUCT((AS35:AS$65)*($M35:$M$65)*($C35:AH$65=$B34)),IF(NOT(ISNUMBER(Data!AL32)),0,ABS(($F34*100)-(Data!AL32-$I34)*$K34)),ABS(($F34*100)-(Data!AL32-$G34)*$K34))</f>
        <v>92.2251308900524</v>
      </c>
      <c r="AT34" s="64">
        <f>CHOOSE($E34,SUMPRODUCT((AT35:AT$65)*($M35:$M$65)*($C35:AI$65=$B34)),IF(NOT(ISNUMBER(Data!AM32)),0,ABS(($F34*100)-(Data!AM32-$I34)*$K34)),ABS(($F34*100)-(Data!AM32-$G34)*$K34))</f>
        <v>83.5078534031414</v>
      </c>
      <c r="AU34" s="64">
        <f>CHOOSE($E34,SUMPRODUCT((AU35:AU$65)*($M35:$M$65)*($C35:AJ$65=$B34)),IF(NOT(ISNUMBER(Data!AN32)),0,ABS(($F34*100)-(Data!AN32-$I34)*$K34)),ABS(($F34*100)-(Data!AN32-$G34)*$K34))</f>
        <v>49.1099476439791</v>
      </c>
      <c r="AV34" s="64">
        <f>CHOOSE($E34,SUMPRODUCT((AV35:AV$65)*($M35:$M$65)*($C35:AK$65=$B34)),IF(NOT(ISNUMBER(Data!AO32)),0,ABS(($F34*100)-(Data!AO32-$I34)*$K34)),ABS(($F34*100)-(Data!AO32-$G34)*$K34))</f>
        <v>82.434554973822</v>
      </c>
      <c r="AW34" s="64">
        <f>CHOOSE($E34,SUMPRODUCT((AW35:AW$65)*($M35:$M$65)*($C35:AL$65=$B34)),IF(NOT(ISNUMBER(Data!AP32)),0,ABS(($F34*100)-(Data!AP32-$I34)*$K34)),ABS(($F34*100)-(Data!AP32-$G34)*$K34))</f>
        <v>85.2879581151832</v>
      </c>
      <c r="AX34" s="64">
        <f>CHOOSE($E34,SUMPRODUCT((AX35:AX$65)*($M35:$M$65)*($C35:AM$65=$B34)),IF(NOT(ISNUMBER(Data!AQ32)),0,ABS(($F34*100)-(Data!AQ32-$I34)*$K34)),ABS(($F34*100)-(Data!AQ32-$G34)*$K34))</f>
        <v>61.2303664921466</v>
      </c>
      <c r="AY34" s="64">
        <f>CHOOSE($E34,SUMPRODUCT((AY35:AY$65)*($M35:$M$65)*($C35:AN$65=$B34)),IF(NOT(ISNUMBER(Data!AR32)),0,ABS(($F34*100)-(Data!AR32-$I34)*$K34)),ABS(($F34*100)-(Data!AR32-$G34)*$K34))</f>
        <v>85.6020942408377</v>
      </c>
      <c r="AZ34" s="64">
        <f>CHOOSE($E34,SUMPRODUCT((AZ35:AZ$65)*($M35:$M$65)*($C35:AO$65=$B34)),IF(NOT(ISNUMBER(Data!AS32)),0,ABS(($F34*100)-(Data!AS32-$I34)*$K34)),ABS(($F34*100)-(Data!AS32-$G34)*$K34))</f>
        <v>94.7643979057592</v>
      </c>
      <c r="BA34" s="64">
        <f>CHOOSE($E34,SUMPRODUCT((BA35:BA$65)*($M35:$M$65)*($C35:AP$65=$B34)),IF(NOT(ISNUMBER(Data!AT32)),0,ABS(($F34*100)-(Data!AT32-$I34)*$K34)),ABS(($F34*100)-(Data!AT32-$G34)*$K34))</f>
        <v>93.2722513089005</v>
      </c>
      <c r="BB34" s="64">
        <f>CHOOSE($E34,SUMPRODUCT((BB35:BB$65)*($M35:$M$65)*($C35:AQ$65=$B34)),IF(NOT(ISNUMBER(Data!AU32)),0,ABS(($F34*100)-(Data!AU32-$I34)*$K34)),ABS(($F34*100)-(Data!AU32-$G34)*$K34))</f>
        <v>100</v>
      </c>
      <c r="BC34" s="64">
        <f>CHOOSE($E34,SUMPRODUCT((BC35:BC$65)*($M35:$M$65)*($C35:AR$65=$B34)),IF(NOT(ISNUMBER(Data!AV32)),0,ABS(($F34*100)-(Data!AV32-$I34)*$K34)),ABS(($F34*100)-(Data!AV32-$G34)*$K34))</f>
        <v>85.0785340314136</v>
      </c>
      <c r="BD34" s="64">
        <f>CHOOSE($E34,SUMPRODUCT((BD35:BD$65)*($M35:$M$65)*($C35:AS$65=$B34)),IF(NOT(ISNUMBER(Data!AW32)),0,ABS(($F34*100)-(Data!AW32-$I34)*$K34)),ABS(($F34*100)-(Data!AW32-$G34)*$K34))</f>
        <v>95</v>
      </c>
      <c r="BE34" s="64">
        <f>CHOOSE($E34,SUMPRODUCT((BE35:BE$65)*($M35:$M$65)*($C35:AT$65=$B34)),IF(NOT(ISNUMBER(Data!AX32)),0,ABS(($F34*100)-(Data!AX32-$I34)*$K34)),ABS(($F34*100)-(Data!AX32-$G34)*$K34))</f>
        <v>91.0994764397906</v>
      </c>
      <c r="BF34" s="64">
        <f>CHOOSE($E34,SUMPRODUCT((BF35:BF$65)*($M35:$M$65)*($C35:AU$65=$B34)),IF(NOT(ISNUMBER(Data!AY32)),0,ABS(($F34*100)-(Data!AY32-$I34)*$K34)),ABS(($F34*100)-(Data!AY32-$G34)*$K34))</f>
        <v>82.7225130890052</v>
      </c>
      <c r="BG34" s="64">
        <f>CHOOSE($E34,SUMPRODUCT((BG35:BG$65)*($M35:$M$65)*($C35:AV$65=$B34)),IF(NOT(ISNUMBER(Data!AZ32)),0,ABS(($F34*100)-(Data!AZ32-$I34)*$K34)),ABS(($F34*100)-(Data!AZ32-$G34)*$K34))</f>
        <v>93.1937172774869</v>
      </c>
      <c r="BH34" s="64">
        <f>CHOOSE($E34,SUMPRODUCT((BH35:BH$65)*($M35:$M$65)*($C35:AW$65=$B34)),IF(NOT(ISNUMBER(Data!BA32)),0,ABS(($F34*100)-(Data!BA32-$I34)*$K34)),ABS(($F34*100)-(Data!BA32-$G34)*$K34))</f>
        <v>93.3769633507853</v>
      </c>
      <c r="BI34" s="64">
        <f>CHOOSE($E34,SUMPRODUCT((BI35:BI$65)*($M35:$M$65)*($C35:AX$65=$B34)),IF(NOT(ISNUMBER(Data!BB32)),0,ABS(($F34*100)-(Data!BB32-$I34)*$K34)),ABS(($F34*100)-(Data!BB32-$G34)*$K34))</f>
        <v>90.0523560209424</v>
      </c>
      <c r="BJ34" s="64">
        <f>CHOOSE($E34,SUMPRODUCT((BJ35:BJ$65)*($M35:$M$65)*($C35:AY$65=$B34)),IF(NOT(ISNUMBER(Data!BC32)),0,ABS(($F34*100)-(Data!BC32-$I34)*$K34)),ABS(($F34*100)-(Data!BC32-$G34)*$K34))</f>
        <v>87.696335078534</v>
      </c>
      <c r="BK34" s="64">
        <f>CHOOSE($E34,SUMPRODUCT((BK35:BK$65)*($M35:$M$65)*($C35:AZ$65=$B34)),IF(NOT(ISNUMBER(Data!BD32)),0,ABS(($F34*100)-(Data!BD32-$I34)*$K34)),ABS(($F34*100)-(Data!BD32-$G34)*$K34))</f>
        <v>90.0523560209424</v>
      </c>
      <c r="BM34" s="65"/>
    </row>
    <row r="35" s="22" customFormat="1" spans="1:65">
      <c r="A35" s="24"/>
      <c r="B35" s="24" t="str">
        <f>tblIndicators!B28</f>
        <v>HELSEC_OP_05</v>
      </c>
      <c r="C35" s="24" t="str">
        <f>tblIndicators!C28</f>
        <v>HELSEC_OP</v>
      </c>
      <c r="D35" s="52">
        <f>tblIndicators!D28</f>
        <v>3</v>
      </c>
      <c r="E35" s="52">
        <f>tblIndicators!M28</f>
        <v>2</v>
      </c>
      <c r="F35" s="52">
        <f>tblIndicators!N28</f>
        <v>1</v>
      </c>
      <c r="G35" s="52">
        <f>tblIndicators!Q28</f>
        <v>0</v>
      </c>
      <c r="H35" s="52">
        <f>tblIndicators!R28</f>
        <v>0</v>
      </c>
      <c r="I35" s="52">
        <f>IF($E35=2,MIN(Data!G33:BD33),"")</f>
        <v>1.63</v>
      </c>
      <c r="J35" s="52">
        <f>IF($E35=2,MAX(Data!G33:BD33),"")</f>
        <v>406</v>
      </c>
      <c r="K35" s="54">
        <f t="shared" si="2"/>
        <v>0.247298266439152</v>
      </c>
      <c r="L35" s="62" t="str">
        <f>tblIndicators!Z28</f>
        <v>2.2.5) Cancer mortality rate ( Cancer deaths per 100,000)</v>
      </c>
      <c r="M35" s="63">
        <f>tblIndicators!AC28</f>
        <v>0.2</v>
      </c>
      <c r="N35" s="64">
        <f>CHOOSE($E35,SUMPRODUCT((N36:N$65)*($M36:$M$65)*($C36:C$65=$B35)),IF(NOT(ISNUMBER(Data!G33)),0,ABS(($F35*100)-(Data!G33-$I35)*$K35)),ABS(($F35*100)-(Data!G33-$G35)*$K35))</f>
        <v>56.013057348468</v>
      </c>
      <c r="O35" s="64">
        <f>CHOOSE($E35,SUMPRODUCT((O36:O$65)*($M36:$M$65)*($C36:D$65=$B35)),IF(NOT(ISNUMBER(Data!H33)),0,ABS(($F35*100)-(Data!H33-$I35)*$K35)),ABS(($F35*100)-(Data!H33-$G35)*$K35))</f>
        <v>83.7821796869204</v>
      </c>
      <c r="P35" s="64">
        <f>CHOOSE($E35,SUMPRODUCT((P36:P$65)*($M36:$M$65)*($C36:E$65=$B35)),IF(NOT(ISNUMBER(Data!I33)),0,ABS(($F35*100)-(Data!I33-$I35)*$K35)),ABS(($F35*100)-(Data!I33-$G35)*$K35))</f>
        <v>71.9316467591562</v>
      </c>
      <c r="Q35" s="64">
        <f>CHOOSE($E35,SUMPRODUCT((Q36:Q$65)*($M36:$M$65)*($C36:F$65=$B35)),IF(NOT(ISNUMBER(Data!J33)),0,ABS(($F35*100)-(Data!J33-$I35)*$K35)),ABS(($F35*100)-(Data!J33-$G35)*$K35))</f>
        <v>74.7533199792269</v>
      </c>
      <c r="R35" s="64">
        <f>CHOOSE($E35,SUMPRODUCT((R36:R$65)*($M36:$M$65)*($C36:G$65=$B35)),IF(NOT(ISNUMBER(Data!K33)),0,ABS(($F35*100)-(Data!K33-$I35)*$K35)),ABS(($F35*100)-(Data!K33-$G35)*$K35))</f>
        <v>74.7533199792269</v>
      </c>
      <c r="S35" s="64">
        <f>CHOOSE($E35,SUMPRODUCT((S36:S$65)*($M36:$M$65)*($C36:H$65=$B35)),IF(NOT(ISNUMBER(Data!L33)),0,ABS(($F35*100)-(Data!L33-$I35)*$K35)),ABS(($F35*100)-(Data!L33-$G35)*$K35))</f>
        <v>12.8570368721715</v>
      </c>
      <c r="T35" s="64">
        <f>CHOOSE($E35,SUMPRODUCT((T36:T$65)*($M36:$M$65)*($C36:I$65=$B35)),IF(NOT(ISNUMBER(Data!M33)),0,ABS(($F35*100)-(Data!M33-$I35)*$K35)),ABS(($F35*100)-(Data!M33-$G35)*$K35))</f>
        <v>59.341692014739</v>
      </c>
      <c r="U35" s="64">
        <f>CHOOSE($E35,SUMPRODUCT((U36:U$65)*($M36:$M$65)*($C36:J$65=$B35)),IF(NOT(ISNUMBER(Data!N33)),0,ABS(($F35*100)-(Data!N33-$I35)*$K35)),ABS(($F35*100)-(Data!N33-$G35)*$K35))</f>
        <v>64.9899844202092</v>
      </c>
      <c r="V35" s="64">
        <f>CHOOSE($E35,SUMPRODUCT((V36:V$65)*($M36:$M$65)*($C36:K$65=$B35)),IF(NOT(ISNUMBER(Data!O33)),0,ABS(($F35*100)-(Data!O33-$I35)*$K35)),ABS(($F35*100)-(Data!O33-$G35)*$K35))</f>
        <v>59.4752330786161</v>
      </c>
      <c r="W35" s="64">
        <f>CHOOSE($E35,SUMPRODUCT((W36:W$65)*($M36:$M$65)*($C36:L$65=$B35)),IF(NOT(ISNUMBER(Data!P33)),0,ABS(($F35*100)-(Data!P33-$I35)*$K35)),ABS(($F35*100)-(Data!P33-$G35)*$K35))</f>
        <v>54.0841308702426</v>
      </c>
      <c r="X35" s="64">
        <f>CHOOSE($E35,SUMPRODUCT((X36:X$65)*($M36:$M$65)*($C36:M$65=$B35)),IF(NOT(ISNUMBER(Data!Q33)),0,ABS(($F35*100)-(Data!Q33-$I35)*$K35)),ABS(($F35*100)-(Data!Q33-$G35)*$K35))</f>
        <v>83.3617726339738</v>
      </c>
      <c r="Y35" s="64">
        <f>CHOOSE($E35,SUMPRODUCT((Y36:Y$65)*($M36:$M$65)*($C36:N$65=$B35)),IF(NOT(ISNUMBER(Data!R33)),0,ABS(($F35*100)-(Data!R33-$I35)*$K35)),ABS(($F35*100)-(Data!R33-$G35)*$K35))</f>
        <v>77.6269258352499</v>
      </c>
      <c r="Z35" s="64">
        <f>CHOOSE($E35,SUMPRODUCT((Z36:Z$65)*($M36:$M$65)*($C36:O$65=$B35)),IF(NOT(ISNUMBER(Data!S33)),0,ABS(($F35*100)-(Data!S33-$I35)*$K35)),ABS(($F35*100)-(Data!S33-$G35)*$K35))</f>
        <v>99.9653782426985</v>
      </c>
      <c r="AA35" s="64">
        <f>CHOOSE($E35,SUMPRODUCT((AA36:AA$65)*($M36:$M$65)*($C36:P$65=$B35)),IF(NOT(ISNUMBER(Data!T33)),0,ABS(($F35*100)-(Data!T33-$I35)*$K35)),ABS(($F35*100)-(Data!T33-$G35)*$K35))</f>
        <v>100</v>
      </c>
      <c r="AB35" s="64">
        <f>CHOOSE($E35,SUMPRODUCT((AB36:AB$65)*($M36:$M$65)*($C36:Q$65=$B35)),IF(NOT(ISNUMBER(Data!U33)),0,ABS(($F35*100)-(Data!U33-$I35)*$K35)),ABS(($F35*100)-(Data!U33-$G35)*$K35))</f>
        <v>51.3366471301036</v>
      </c>
      <c r="AC35" s="64">
        <f>CHOOSE($E35,SUMPRODUCT((AC36:AC$65)*($M36:$M$65)*($C36:R$65=$B35)),IF(NOT(ISNUMBER(Data!V33)),0,ABS(($F35*100)-(Data!V33-$I35)*$K35)),ABS(($F35*100)-(Data!V33-$G35)*$K35))</f>
        <v>57.3731978138833</v>
      </c>
      <c r="AD35" s="64">
        <f>CHOOSE($E35,SUMPRODUCT((AD36:AD$65)*($M36:$M$65)*($C36:S$65=$B35)),IF(NOT(ISNUMBER(Data!W33)),0,ABS(($F35*100)-(Data!W33-$I35)*$K35)),ABS(($F35*100)-(Data!W33-$G35)*$K35))</f>
        <v>53.663723817296</v>
      </c>
      <c r="AE35" s="64">
        <f>CHOOSE($E35,SUMPRODUCT((AE36:AE$65)*($M36:$M$65)*($C36:T$65=$B35)),IF(NOT(ISNUMBER(Data!X33)),0,ABS(($F35*100)-(Data!X33-$I35)*$K35)),ABS(($F35*100)-(Data!X33-$G35)*$K35))</f>
        <v>73.2744763459208</v>
      </c>
      <c r="AF35" s="64">
        <f>CHOOSE($E35,SUMPRODUCT((AF36:AF$65)*($M36:$M$65)*($C36:U$65=$B35)),IF(NOT(ISNUMBER(Data!Y33)),0,ABS(($F35*100)-(Data!Y33-$I35)*$K35)),ABS(($F35*100)-(Data!Y33-$G35)*$K35))</f>
        <v>70.1857209980958</v>
      </c>
      <c r="AG35" s="64">
        <f>CHOOSE($E35,SUMPRODUCT((AG36:AG$65)*($M36:$M$65)*($C36:V$65=$B35)),IF(NOT(ISNUMBER(Data!Z33)),0,ABS(($F35*100)-(Data!Z33-$I35)*$K35)),ABS(($F35*100)-(Data!Z33-$G35)*$K35))</f>
        <v>67.5124267378886</v>
      </c>
      <c r="AH35" s="64">
        <f>CHOOSE($E35,SUMPRODUCT((AH36:AH$65)*($M36:$M$65)*($C36:W$65=$B35)),IF(NOT(ISNUMBER(Data!AA33)),0,ABS(($F35*100)-(Data!AA33-$I35)*$K35)),ABS(($F35*100)-(Data!AA33-$G35)*$K35))</f>
        <v>70.1857209980958</v>
      </c>
      <c r="AI35" s="64">
        <f>CHOOSE($E35,SUMPRODUCT((AI36:AI$65)*($M36:$M$65)*($C36:X$65=$B35)),IF(NOT(ISNUMBER(Data!AB33)),0,ABS(($F35*100)-(Data!AB33-$I35)*$K35)),ABS(($F35*100)-(Data!AB33-$G35)*$K35))</f>
        <v>64.7921458070579</v>
      </c>
      <c r="AJ35" s="64">
        <f>CHOOSE($E35,SUMPRODUCT((AJ36:AJ$65)*($M36:$M$65)*($C36:Y$65=$B35)),IF(NOT(ISNUMBER(Data!AC33)),0,ABS(($F35*100)-(Data!AC33-$I35)*$K35)),ABS(($F35*100)-(Data!AC33-$G35)*$K35))</f>
        <v>70.1857209980958</v>
      </c>
      <c r="AK35" s="64">
        <f>CHOOSE($E35,SUMPRODUCT((AK36:AK$65)*($M36:$M$65)*($C36:Z$65=$B35)),IF(NOT(ISNUMBER(Data!AD33)),0,ABS(($F35*100)-(Data!AD33-$I35)*$K35)),ABS(($F35*100)-(Data!AD33-$G35)*$K35))</f>
        <v>84.4548309716349</v>
      </c>
      <c r="AL35" s="64">
        <f>CHOOSE($E35,SUMPRODUCT((AL36:AL$65)*($M36:$M$65)*($C36:AA$65=$B35)),IF(NOT(ISNUMBER(Data!AE33)),0,ABS(($F35*100)-(Data!AE33-$I35)*$K35)),ABS(($F35*100)-(Data!AE33-$G35)*$K35))</f>
        <v>91.0527487202315</v>
      </c>
      <c r="AM35" s="64">
        <f>CHOOSE($E35,SUMPRODUCT((AM36:AM$65)*($M36:$M$65)*($C36:AB$65=$B35)),IF(NOT(ISNUMBER(Data!AF33)),0,ABS(($F35*100)-(Data!AF33-$I35)*$K35)),ABS(($F35*100)-(Data!AF33-$G35)*$K35))</f>
        <v>78.3243069466083</v>
      </c>
      <c r="AN35" s="64">
        <f>CHOOSE($E35,SUMPRODUCT((AN36:AN$65)*($M36:$M$65)*($C36:AC$65=$B35)),IF(NOT(ISNUMBER(Data!AG33)),0,ABS(($F35*100)-(Data!AG33-$I35)*$K35)),ABS(($F35*100)-(Data!AG33-$G35)*$K35))</f>
        <v>80.1493681529292</v>
      </c>
      <c r="AO35" s="64">
        <f>CHOOSE($E35,SUMPRODUCT((AO36:AO$65)*($M36:$M$65)*($C36:AD$65=$B35)),IF(NOT(ISNUMBER(Data!AH33)),0,ABS(($F35*100)-(Data!AH33-$I35)*$K35)),ABS(($F35*100)-(Data!AH33-$G35)*$K35))</f>
        <v>37.3667680589559</v>
      </c>
      <c r="AP35" s="64">
        <f>CHOOSE($E35,SUMPRODUCT((AP36:AP$65)*($M36:$M$65)*($C36:AE$65=$B35)),IF(NOT(ISNUMBER(Data!AI33)),0,ABS(($F35*100)-(Data!AI33-$I35)*$K35)),ABS(($F35*100)-(Data!AI33-$G35)*$K35))</f>
        <v>28.4393006405025</v>
      </c>
      <c r="AQ35" s="64">
        <f>CHOOSE($E35,SUMPRODUCT((AQ36:AQ$65)*($M36:$M$65)*($C36:AF$65=$B35)),IF(NOT(ISNUMBER(Data!AJ33)),0,ABS(($F35*100)-(Data!AJ33-$I35)*$K35)),ABS(($F35*100)-(Data!AJ33-$G35)*$K35))</f>
        <v>78.0226030615525</v>
      </c>
      <c r="AR35" s="64">
        <f>CHOOSE($E35,SUMPRODUCT((AR36:AR$65)*($M36:$M$65)*($C36:AG$65=$B35)),IF(NOT(ISNUMBER(Data!AK33)),0,ABS(($F35*100)-(Data!AK33-$I35)*$K35)),ABS(($F35*100)-(Data!AK33-$G35)*$K35))</f>
        <v>70.8262235081732</v>
      </c>
      <c r="AS35" s="64">
        <f>CHOOSE($E35,SUMPRODUCT((AS36:AS$65)*($M36:$M$65)*($C36:AH$65=$B35)),IF(NOT(ISNUMBER(Data!AL33)),0,ABS(($F35*100)-(Data!AL33-$I35)*$K35)),ABS(($F35*100)-(Data!AL33-$G35)*$K35))</f>
        <v>52.672057768875</v>
      </c>
      <c r="AT35" s="64">
        <f>CHOOSE($E35,SUMPRODUCT((AT36:AT$65)*($M36:$M$65)*($C36:AI$65=$B35)),IF(NOT(ISNUMBER(Data!AM33)),0,ABS(($F35*100)-(Data!AM33-$I35)*$K35)),ABS(($F35*100)-(Data!AM33-$G35)*$K35))</f>
        <v>64.5201177139748</v>
      </c>
      <c r="AU35" s="64">
        <f>CHOOSE($E35,SUMPRODUCT((AU36:AU$65)*($M36:$M$65)*($C36:AJ$65=$B35)),IF(NOT(ISNUMBER(Data!AN33)),0,ABS(($F35*100)-(Data!AN33-$I35)*$K35)),ABS(($F35*100)-(Data!AN33-$G35)*$K35))</f>
        <v>73.5341395256819</v>
      </c>
      <c r="AV35" s="64">
        <f>CHOOSE($E35,SUMPRODUCT((AV36:AV$65)*($M36:$M$65)*($C36:AK$65=$B35)),IF(NOT(ISNUMBER(Data!AO33)),0,ABS(($F35*100)-(Data!AO33-$I35)*$K35)),ABS(($F35*100)-(Data!AO33-$G35)*$K35))</f>
        <v>86.8635160867522</v>
      </c>
      <c r="AW35" s="64">
        <f>CHOOSE($E35,SUMPRODUCT((AW36:AW$65)*($M36:$M$65)*($C36:AL$65=$B35)),IF(NOT(ISNUMBER(Data!AP33)),0,ABS(($F35*100)-(Data!AP33-$I35)*$K35)),ABS(($F35*100)-(Data!AP33-$G35)*$K35))</f>
        <v>83.243069466083</v>
      </c>
      <c r="AX35" s="64">
        <f>CHOOSE($E35,SUMPRODUCT((AX36:AX$65)*($M36:$M$65)*($C36:AM$65=$B35)),IF(NOT(ISNUMBER(Data!AQ33)),0,ABS(($F35*100)-(Data!AQ33-$I35)*$K35)),ABS(($F35*100)-(Data!AQ33-$G35)*$K35))</f>
        <v>87.0860845265475</v>
      </c>
      <c r="AY35" s="64">
        <f>CHOOSE($E35,SUMPRODUCT((AY36:AY$65)*($M36:$M$65)*($C36:AN$65=$B35)),IF(NOT(ISNUMBER(Data!AR33)),0,ABS(($F35*100)-(Data!AR33-$I35)*$K35)),ABS(($F35*100)-(Data!AR33-$G35)*$K35))</f>
        <v>0</v>
      </c>
      <c r="AZ35" s="64">
        <f>CHOOSE($E35,SUMPRODUCT((AZ36:AZ$65)*($M36:$M$65)*($C36:AO$65=$B35)),IF(NOT(ISNUMBER(Data!AS33)),0,ABS(($F35*100)-(Data!AS33-$I35)*$K35)),ABS(($F35*100)-(Data!AS33-$G35)*$K35))</f>
        <v>43.1535474936321</v>
      </c>
      <c r="BA35" s="64">
        <f>CHOOSE($E35,SUMPRODUCT((BA36:BA$65)*($M36:$M$65)*($C36:AP$65=$B35)),IF(NOT(ISNUMBER(Data!AT33)),0,ABS(($F35*100)-(Data!AT33-$I35)*$K35)),ABS(($F35*100)-(Data!AT33-$G35)*$K35))</f>
        <v>56.6313030145659</v>
      </c>
      <c r="BB35" s="64">
        <f>CHOOSE($E35,SUMPRODUCT((BB36:BB$65)*($M36:$M$65)*($C36:AQ$65=$B35)),IF(NOT(ISNUMBER(Data!AU33)),0,ABS(($F35*100)-(Data!AU33-$I35)*$K35)),ABS(($F35*100)-(Data!AU33-$G35)*$K35))</f>
        <v>75.4704849519005</v>
      </c>
      <c r="BC35" s="64">
        <f>CHOOSE($E35,SUMPRODUCT((BC36:BC$65)*($M36:$M$65)*($C36:AR$65=$B35)),IF(NOT(ISNUMBER(Data!AV33)),0,ABS(($F35*100)-(Data!AV33-$I35)*$K35)),ABS(($F35*100)-(Data!AV33-$G35)*$K35))</f>
        <v>67.2552365407919</v>
      </c>
      <c r="BD35" s="64">
        <f>CHOOSE($E35,SUMPRODUCT((BD36:BD$65)*($M36:$M$65)*($C36:AS$65=$B35)),IF(NOT(ISNUMBER(Data!AW33)),0,ABS(($F35*100)-(Data!AW33-$I35)*$K35)),ABS(($F35*100)-(Data!AW33-$G35)*$K35))</f>
        <v>66.5628013947622</v>
      </c>
      <c r="BE35" s="64">
        <f>CHOOSE($E35,SUMPRODUCT((BE36:BE$65)*($M36:$M$65)*($C36:AT$65=$B35)),IF(NOT(ISNUMBER(Data!AX33)),0,ABS(($F35*100)-(Data!AX33-$I35)*$K35)),ABS(($F35*100)-(Data!AX33-$G35)*$K35))</f>
        <v>51.1017137769864</v>
      </c>
      <c r="BF35" s="64">
        <f>CHOOSE($E35,SUMPRODUCT((BF36:BF$65)*($M36:$M$65)*($C36:AU$65=$B35)),IF(NOT(ISNUMBER(Data!AY33)),0,ABS(($F35*100)-(Data!AY33-$I35)*$K35)),ABS(($F35*100)-(Data!AY33-$G35)*$K35))</f>
        <v>70.0966936221777</v>
      </c>
      <c r="BG35" s="64">
        <f>CHOOSE($E35,SUMPRODUCT((BG36:BG$65)*($M36:$M$65)*($C36:AV$65=$B35)),IF(NOT(ISNUMBER(Data!AZ33)),0,ABS(($F35*100)-(Data!AZ33-$I35)*$K35)),ABS(($F35*100)-(Data!AZ33-$G35)*$K35))</f>
        <v>76.1530281672725</v>
      </c>
      <c r="BH35" s="64">
        <f>CHOOSE($E35,SUMPRODUCT((BH36:BH$65)*($M36:$M$65)*($C36:AW$65=$B35)),IF(NOT(ISNUMBER(Data!BA33)),0,ABS(($F35*100)-(Data!BA33-$I35)*$K35)),ABS(($F35*100)-(Data!BA33-$G35)*$K35))</f>
        <v>76.1530281672725</v>
      </c>
      <c r="BI35" s="64">
        <f>CHOOSE($E35,SUMPRODUCT((BI36:BI$65)*($M36:$M$65)*($C36:AX$65=$B35)),IF(NOT(ISNUMBER(Data!BB33)),0,ABS(($F35*100)-(Data!BB33-$I35)*$K35)),ABS(($F35*100)-(Data!BB33-$G35)*$K35))</f>
        <v>77.532952494003</v>
      </c>
      <c r="BJ35" s="64">
        <f>CHOOSE($E35,SUMPRODUCT((BJ36:BJ$65)*($M36:$M$65)*($C36:AY$65=$B35)),IF(NOT(ISNUMBER(Data!BC33)),0,ABS(($F35*100)-(Data!BC33-$I35)*$K35)),ABS(($F35*100)-(Data!BC33-$G35)*$K35))</f>
        <v>68.5387145436111</v>
      </c>
      <c r="BK35" s="64">
        <f>CHOOSE($E35,SUMPRODUCT((BK36:BK$65)*($M36:$M$65)*($C36:AZ$65=$B35)),IF(NOT(ISNUMBER(Data!BD33)),0,ABS(($F35*100)-(Data!BD33-$I35)*$K35)),ABS(($F35*100)-(Data!BD33-$G35)*$K35))</f>
        <v>58.0087543586319</v>
      </c>
      <c r="BM35" s="65"/>
    </row>
    <row r="36" spans="1:65">
      <c r="A36" s="24"/>
      <c r="B36" s="24" t="str">
        <f>tblIndicators!B29</f>
        <v>INFSAF</v>
      </c>
      <c r="C36" s="24" t="str">
        <f>tblIndicators!C29</f>
        <v>TOTAL</v>
      </c>
      <c r="D36" s="52">
        <f>tblIndicators!D29</f>
        <v>1</v>
      </c>
      <c r="E36" s="52">
        <f>tblIndicators!M29</f>
        <v>1</v>
      </c>
      <c r="F36" s="52">
        <f>tblIndicators!N29</f>
        <v>0</v>
      </c>
      <c r="G36" s="52">
        <f>tblIndicators!Q29</f>
        <v>0</v>
      </c>
      <c r="H36" s="52">
        <f>tblIndicators!R29</f>
        <v>0</v>
      </c>
      <c r="I36" s="52" t="str">
        <f>IF($E36=2,MIN(Data!G34:BD34),"")</f>
        <v/>
      </c>
      <c r="J36" s="52" t="str">
        <f>IF($E36=2,MAX(Data!G34:BD34),"")</f>
        <v/>
      </c>
      <c r="K36" s="54" t="str">
        <f t="shared" si="2"/>
        <v/>
      </c>
      <c r="L36" s="55" t="str">
        <f>tblIndicators!Z29</f>
        <v>3) INFRASTRUCTURE SAFETY</v>
      </c>
      <c r="M36" s="56">
        <f>tblIndicators!AC29</f>
        <v>0.25</v>
      </c>
      <c r="N36" s="57">
        <f>IF(uxbWorks!$E$9=1,N43/N37,CHOOSE($E36,SUMPRODUCT((N37:N$65)*($M37:$M$65)*($C37:C$65=$B36)),IF(NOT(ISNUMBER(Data!G34)),0,ABS(($F36*100)-(Data!G34-$I36)*$K36)),ABS(($F36*100)-(Data!G34-$G36)*$K36)))</f>
        <v>81.9215006665391</v>
      </c>
      <c r="O36" s="57">
        <f>IF(uxbWorks!$E$9=1,O43/O37,CHOOSE($E36,SUMPRODUCT((O37:O$65)*($M37:$M$65)*($C37:D$65=$B36)),IF(NOT(ISNUMBER(Data!H34)),0,ABS(($F36*100)-(Data!H34-$I36)*$K36)),ABS(($F36*100)-(Data!H34-$G36)*$K36)))</f>
        <v>60.6680070816332</v>
      </c>
      <c r="P36" s="57">
        <f>IF(uxbWorks!$E$9=1,P43/P37,CHOOSE($E36,SUMPRODUCT((P37:P$65)*($M37:$M$65)*($C37:E$65=$B36)),IF(NOT(ISNUMBER(Data!I34)),0,ABS(($F36*100)-(Data!I34-$I36)*$K36)),ABS(($F36*100)-(Data!I34-$G36)*$K36)))</f>
        <v>77.0295682239083</v>
      </c>
      <c r="Q36" s="57">
        <f>IF(uxbWorks!$E$9=1,Q43/Q37,CHOOSE($E36,SUMPRODUCT((Q37:Q$65)*($M37:$M$65)*($C37:F$65=$B36)),IF(NOT(ISNUMBER(Data!J34)),0,ABS(($F36*100)-(Data!J34-$I36)*$K36)),ABS(($F36*100)-(Data!J34-$G36)*$K36)))</f>
        <v>76.4103383063261</v>
      </c>
      <c r="R36" s="57">
        <f>IF(uxbWorks!$E$9=1,R43/R37,CHOOSE($E36,SUMPRODUCT((R37:R$65)*($M37:$M$65)*($C37:G$65=$B36)),IF(NOT(ISNUMBER(Data!K34)),0,ABS(($F36*100)-(Data!K34-$I36)*$K36)),ABS(($F36*100)-(Data!K34-$G36)*$K36)))</f>
        <v>74.3988139055048</v>
      </c>
      <c r="S36" s="57">
        <f>IF(uxbWorks!$E$9=1,S43/S37,CHOOSE($E36,SUMPRODUCT((S37:S$65)*($M37:$M$65)*($C37:H$65=$B36)),IF(NOT(ISNUMBER(Data!L34)),0,ABS(($F36*100)-(Data!L34-$I36)*$K36)),ABS(($F36*100)-(Data!L34-$G36)*$K36)))</f>
        <v>83.7203369693135</v>
      </c>
      <c r="T36" s="57">
        <f>IF(uxbWorks!$E$9=1,T43/T37,CHOOSE($E36,SUMPRODUCT((T37:T$65)*($M37:$M$65)*($C37:I$65=$B36)),IF(NOT(ISNUMBER(Data!M34)),0,ABS(($F36*100)-(Data!M34-$I36)*$K36)),ABS(($F36*100)-(Data!M34-$G36)*$K36)))</f>
        <v>86.1624180362495</v>
      </c>
      <c r="U36" s="57">
        <f>IF(uxbWorks!$E$9=1,U43/U37,CHOOSE($E36,SUMPRODUCT((U37:U$65)*($M37:$M$65)*($C37:J$65=$B36)),IF(NOT(ISNUMBER(Data!N34)),0,ABS(($F36*100)-(Data!N34-$I36)*$K36)),ABS(($F36*100)-(Data!N34-$G36)*$K36)))</f>
        <v>87.5662697667398</v>
      </c>
      <c r="V36" s="57">
        <f>IF(uxbWorks!$E$9=1,V43/V37,CHOOSE($E36,SUMPRODUCT((V37:V$65)*($M37:$M$65)*($C37:K$65=$B36)),IF(NOT(ISNUMBER(Data!O34)),0,ABS(($F36*100)-(Data!O34-$I36)*$K36)),ABS(($F36*100)-(Data!O34-$G36)*$K36)))</f>
        <v>89.469124651657</v>
      </c>
      <c r="W36" s="57">
        <f>IF(uxbWorks!$E$9=1,W43/W37,CHOOSE($E36,SUMPRODUCT((W37:W$65)*($M37:$M$65)*($C37:L$65=$B36)),IF(NOT(ISNUMBER(Data!P34)),0,ABS(($F36*100)-(Data!P34-$I36)*$K36)),ABS(($F36*100)-(Data!P34-$G36)*$K36)))</f>
        <v>85.6907067241365</v>
      </c>
      <c r="X36" s="57">
        <f>IF(uxbWorks!$E$9=1,X43/X37,CHOOSE($E36,SUMPRODUCT((X37:X$65)*($M37:$M$65)*($C37:M$65=$B36)),IF(NOT(ISNUMBER(Data!Q34)),0,ABS(($F36*100)-(Data!Q34-$I36)*$K36)),ABS(($F36*100)-(Data!Q34-$G36)*$K36)))</f>
        <v>52.9285240808396</v>
      </c>
      <c r="Y36" s="57">
        <f>IF(uxbWorks!$E$9=1,Y43/Y37,CHOOSE($E36,SUMPRODUCT((Y37:Y$65)*($M37:$M$65)*($C37:N$65=$B36)),IF(NOT(ISNUMBER(Data!R34)),0,ABS(($F36*100)-(Data!R34-$I36)*$K36)),ABS(($F36*100)-(Data!R34-$G36)*$K36)))</f>
        <v>75.6867438447697</v>
      </c>
      <c r="Z36" s="57">
        <f>IF(uxbWorks!$E$9=1,Z43/Z37,CHOOSE($E36,SUMPRODUCT((Z37:Z$65)*($M37:$M$65)*($C37:O$65=$B36)),IF(NOT(ISNUMBER(Data!S34)),0,ABS(($F36*100)-(Data!S34-$I36)*$K36)),ABS(($F36*100)-(Data!S34-$G36)*$K36)))</f>
        <v>78.8314105627134</v>
      </c>
      <c r="AA36" s="57">
        <f>IF(uxbWorks!$E$9=1,AA43/AA37,CHOOSE($E36,SUMPRODUCT((AA37:AA$65)*($M37:$M$65)*($C37:P$65=$B36)),IF(NOT(ISNUMBER(Data!T34)),0,ABS(($F36*100)-(Data!T34-$I36)*$K36)),ABS(($F36*100)-(Data!T34-$G36)*$K36)))</f>
        <v>84.9324387503583</v>
      </c>
      <c r="AB36" s="57">
        <f>IF(uxbWorks!$E$9=1,AB43/AB37,CHOOSE($E36,SUMPRODUCT((AB37:AB$65)*($M37:$M$65)*($C37:Q$65=$B36)),IF(NOT(ISNUMBER(Data!U34)),0,ABS(($F36*100)-(Data!U34-$I36)*$K36)),ABS(($F36*100)-(Data!U34-$G36)*$K36)))</f>
        <v>77.0032147810595</v>
      </c>
      <c r="AC36" s="57">
        <f>IF(uxbWorks!$E$9=1,AC43/AC37,CHOOSE($E36,SUMPRODUCT((AC37:AC$65)*($M37:$M$65)*($C37:R$65=$B36)),IF(NOT(ISNUMBER(Data!V34)),0,ABS(($F36*100)-(Data!V34-$I36)*$K36)),ABS(($F36*100)-(Data!V34-$G36)*$K36)))</f>
        <v>91.3983532778716</v>
      </c>
      <c r="AD36" s="57">
        <f>IF(uxbWorks!$E$9=1,AD43/AD37,CHOOSE($E36,SUMPRODUCT((AD37:AD$65)*($M37:$M$65)*($C37:S$65=$B36)),IF(NOT(ISNUMBER(Data!W34)),0,ABS(($F36*100)-(Data!W34-$I36)*$K36)),ABS(($F36*100)-(Data!W34-$G36)*$K36)))</f>
        <v>92.280706902541</v>
      </c>
      <c r="AE36" s="57">
        <f>IF(uxbWorks!$E$9=1,AE43/AE37,CHOOSE($E36,SUMPRODUCT((AE37:AE$65)*($M37:$M$65)*($C37:T$65=$B36)),IF(NOT(ISNUMBER(Data!X34)),0,ABS(($F36*100)-(Data!X34-$I36)*$K36)),ABS(($F36*100)-(Data!X34-$G36)*$K36)))</f>
        <v>71.4615236296316</v>
      </c>
      <c r="AF36" s="57">
        <f>IF(uxbWorks!$E$9=1,AF43/AF37,CHOOSE($E36,SUMPRODUCT((AF37:AF$65)*($M37:$M$65)*($C37:U$65=$B36)),IF(NOT(ISNUMBER(Data!Y34)),0,ABS(($F36*100)-(Data!Y34-$I36)*$K36)),ABS(($F36*100)-(Data!Y34-$G36)*$K36)))</f>
        <v>76.5350803965659</v>
      </c>
      <c r="AG36" s="57">
        <f>IF(uxbWorks!$E$9=1,AG43/AG37,CHOOSE($E36,SUMPRODUCT((AG37:AG$65)*($M37:$M$65)*($C37:V$65=$B36)),IF(NOT(ISNUMBER(Data!Z34)),0,ABS(($F36*100)-(Data!Z34-$I36)*$K36)),ABS(($F36*100)-(Data!Z34-$G36)*$K36)))</f>
        <v>76.628435704518</v>
      </c>
      <c r="AH36" s="57">
        <f>IF(uxbWorks!$E$9=1,AH43/AH37,CHOOSE($E36,SUMPRODUCT((AH37:AH$65)*($M37:$M$65)*($C37:W$65=$B36)),IF(NOT(ISNUMBER(Data!AA34)),0,ABS(($F36*100)-(Data!AA34-$I36)*$K36)),ABS(($F36*100)-(Data!AA34-$G36)*$K36)))</f>
        <v>76.4972393825998</v>
      </c>
      <c r="AI36" s="57">
        <f>IF(uxbWorks!$E$9=1,AI43/AI37,CHOOSE($E36,SUMPRODUCT((AI37:AI$65)*($M37:$M$65)*($C37:X$65=$B36)),IF(NOT(ISNUMBER(Data!AB34)),0,ABS(($F36*100)-(Data!AB34-$I36)*$K36)),ABS(($F36*100)-(Data!AB34-$G36)*$K36)))</f>
        <v>76.565956554236</v>
      </c>
      <c r="AJ36" s="57">
        <f>IF(uxbWorks!$E$9=1,AJ43/AJ37,CHOOSE($E36,SUMPRODUCT((AJ37:AJ$65)*($M37:$M$65)*($C37:Y$65=$B36)),IF(NOT(ISNUMBER(Data!AC34)),0,ABS(($F36*100)-(Data!AC34-$I36)*$K36)),ABS(($F36*100)-(Data!AC34-$G36)*$K36)))</f>
        <v>76.5290908609539</v>
      </c>
      <c r="AK36" s="57">
        <f>IF(uxbWorks!$E$9=1,AK43/AK37,CHOOSE($E36,SUMPRODUCT((AK37:AK$65)*($M37:$M$65)*($C37:Z$65=$B36)),IF(NOT(ISNUMBER(Data!AD34)),0,ABS(($F36*100)-(Data!AD34-$I36)*$K36)),ABS(($F36*100)-(Data!AD34-$G36)*$K36)))</f>
        <v>55.8898054916495</v>
      </c>
      <c r="AL36" s="57">
        <f>IF(uxbWorks!$E$9=1,AL43/AL37,CHOOSE($E36,SUMPRODUCT((AL37:AL$65)*($M37:$M$65)*($C37:AA$65=$B36)),IF(NOT(ISNUMBER(Data!AE34)),0,ABS(($F36*100)-(Data!AE34-$I36)*$K36)),ABS(($F36*100)-(Data!AE34-$G36)*$K36)))</f>
        <v>57.7116867137513</v>
      </c>
      <c r="AM36" s="57">
        <f>IF(uxbWorks!$E$9=1,AM43/AM37,CHOOSE($E36,SUMPRODUCT((AM37:AM$65)*($M37:$M$65)*($C37:AB$65=$B36)),IF(NOT(ISNUMBER(Data!AF34)),0,ABS(($F36*100)-(Data!AF34-$I36)*$K36)),ABS(($F36*100)-(Data!AF34-$G36)*$K36)))</f>
        <v>54.017771301321</v>
      </c>
      <c r="AN36" s="57">
        <f>IF(uxbWorks!$E$9=1,AN43/AN37,CHOOSE($E36,SUMPRODUCT((AN37:AN$65)*($M37:$M$65)*($C37:AC$65=$B36)),IF(NOT(ISNUMBER(Data!AG34)),0,ABS(($F36*100)-(Data!AG34-$I36)*$K36)),ABS(($F36*100)-(Data!AG34-$G36)*$K36)))</f>
        <v>63.9780876245472</v>
      </c>
      <c r="AO36" s="57">
        <f>IF(uxbWorks!$E$9=1,AO43/AO37,CHOOSE($E36,SUMPRODUCT((AO37:AO$65)*($M37:$M$65)*($C37:AD$65=$B36)),IF(NOT(ISNUMBER(Data!AH34)),0,ABS(($F36*100)-(Data!AH34-$I36)*$K36)),ABS(($F36*100)-(Data!AH34-$G36)*$K36)))</f>
        <v>89.7889038401545</v>
      </c>
      <c r="AP36" s="57">
        <f>IF(uxbWorks!$E$9=1,AP43/AP37,CHOOSE($E36,SUMPRODUCT((AP37:AP$65)*($M37:$M$65)*($C37:AE$65=$B36)),IF(NOT(ISNUMBER(Data!AI34)),0,ABS(($F36*100)-(Data!AI34-$I36)*$K36)),ABS(($F36*100)-(Data!AI34-$G36)*$K36)))</f>
        <v>85.7089573410065</v>
      </c>
      <c r="AQ36" s="57">
        <f>IF(uxbWorks!$E$9=1,AQ43/AQ37,CHOOSE($E36,SUMPRODUCT((AQ37:AQ$65)*($M37:$M$65)*($C37:AF$65=$B36)),IF(NOT(ISNUMBER(Data!AJ34)),0,ABS(($F36*100)-(Data!AJ34-$I36)*$K36)),ABS(($F36*100)-(Data!AJ34-$G36)*$K36)))</f>
        <v>88.8558505989006</v>
      </c>
      <c r="AR36" s="57">
        <f>IF(uxbWorks!$E$9=1,AR43/AR37,CHOOSE($E36,SUMPRODUCT((AR37:AR$65)*($M37:$M$65)*($C37:AG$65=$B36)),IF(NOT(ISNUMBER(Data!AK34)),0,ABS(($F36*100)-(Data!AK34-$I36)*$K36)),ABS(($F36*100)-(Data!AK34-$G36)*$K36)))</f>
        <v>85.6427454845003</v>
      </c>
      <c r="AS36" s="57">
        <f>IF(uxbWorks!$E$9=1,AS43/AS37,CHOOSE($E36,SUMPRODUCT((AS37:AS$65)*($M37:$M$65)*($C37:AH$65=$B36)),IF(NOT(ISNUMBER(Data!AL34)),0,ABS(($F36*100)-(Data!AL34-$I36)*$K36)),ABS(($F36*100)-(Data!AL34-$G36)*$K36)))</f>
        <v>79.2471210598246</v>
      </c>
      <c r="AT36" s="57">
        <f>IF(uxbWorks!$E$9=1,AT43/AT37,CHOOSE($E36,SUMPRODUCT((AT37:AT$65)*($M37:$M$65)*($C37:AI$65=$B36)),IF(NOT(ISNUMBER(Data!AM34)),0,ABS(($F36*100)-(Data!AM34-$I36)*$K36)),ABS(($F36*100)-(Data!AM34-$G36)*$K36)))</f>
        <v>66.4448436262011</v>
      </c>
      <c r="AU36" s="57">
        <f>IF(uxbWorks!$E$9=1,AU43/AU37,CHOOSE($E36,SUMPRODUCT((AU37:AU$65)*($M37:$M$65)*($C37:AJ$65=$B36)),IF(NOT(ISNUMBER(Data!AN34)),0,ABS(($F36*100)-(Data!AN34-$I36)*$K36)),ABS(($F36*100)-(Data!AN34-$G36)*$K36)))</f>
        <v>52.407291457512</v>
      </c>
      <c r="AV36" s="57">
        <f>IF(uxbWorks!$E$9=1,AV43/AV37,CHOOSE($E36,SUMPRODUCT((AV37:AV$65)*($M37:$M$65)*($C37:AK$65=$B36)),IF(NOT(ISNUMBER(Data!AO34)),0,ABS(($F36*100)-(Data!AO34-$I36)*$K36)),ABS(($F36*100)-(Data!AO34-$G36)*$K36)))</f>
        <v>73.3991457298148</v>
      </c>
      <c r="AW36" s="57">
        <f>IF(uxbWorks!$E$9=1,AW43/AW37,CHOOSE($E36,SUMPRODUCT((AW37:AW$65)*($M37:$M$65)*($C37:AL$65=$B36)),IF(NOT(ISNUMBER(Data!AP34)),0,ABS(($F36*100)-(Data!AP34-$I36)*$K36)),ABS(($F36*100)-(Data!AP34-$G36)*$K36)))</f>
        <v>76.3373542642977</v>
      </c>
      <c r="AX36" s="57">
        <f>IF(uxbWorks!$E$9=1,AX43/AX37,CHOOSE($E36,SUMPRODUCT((AX37:AX$65)*($M37:$M$65)*($C37:AM$65=$B36)),IF(NOT(ISNUMBER(Data!AQ34)),0,ABS(($F36*100)-(Data!AQ34-$I36)*$K36)),ABS(($F36*100)-(Data!AQ34-$G36)*$K36)))</f>
        <v>61.5253505079777</v>
      </c>
      <c r="AY36" s="57">
        <f>IF(uxbWorks!$E$9=1,AY43/AY37,CHOOSE($E36,SUMPRODUCT((AY37:AY$65)*($M37:$M$65)*($C37:AN$65=$B36)),IF(NOT(ISNUMBER(Data!AR34)),0,ABS(($F36*100)-(Data!AR34-$I36)*$K36)),ABS(($F36*100)-(Data!AR34-$G36)*$K36)))</f>
        <v>86.1567953494887</v>
      </c>
      <c r="AZ36" s="57">
        <f>IF(uxbWorks!$E$9=1,AZ43/AZ37,CHOOSE($E36,SUMPRODUCT((AZ37:AZ$65)*($M37:$M$65)*($C37:AO$65=$B36)),IF(NOT(ISNUMBER(Data!AS34)),0,ABS(($F36*100)-(Data!AS34-$I36)*$K36)),ABS(($F36*100)-(Data!AS34-$G36)*$K36)))</f>
        <v>84.3429535366989</v>
      </c>
      <c r="BA36" s="57">
        <f>IF(uxbWorks!$E$9=1,BA43/BA37,CHOOSE($E36,SUMPRODUCT((BA37:BA$65)*($M37:$M$65)*($C37:AP$65=$B36)),IF(NOT(ISNUMBER(Data!AT34)),0,ABS(($F36*100)-(Data!AT34-$I36)*$K36)),ABS(($F36*100)-(Data!AT34-$G36)*$K36)))</f>
        <v>78.2179840058819</v>
      </c>
      <c r="BB36" s="57">
        <f>IF(uxbWorks!$E$9=1,BB43/BB37,CHOOSE($E36,SUMPRODUCT((BB37:BB$65)*($M37:$M$65)*($C37:AQ$65=$B36)),IF(NOT(ISNUMBER(Data!AU34)),0,ABS(($F36*100)-(Data!AU34-$I36)*$K36)),ABS(($F36*100)-(Data!AU34-$G36)*$K36)))</f>
        <v>82.7943222597842</v>
      </c>
      <c r="BC36" s="57">
        <f>IF(uxbWorks!$E$9=1,BC43/BC37,CHOOSE($E36,SUMPRODUCT((BC37:BC$65)*($M37:$M$65)*($C37:AR$65=$B36)),IF(NOT(ISNUMBER(Data!AV34)),0,ABS(($F36*100)-(Data!AV34-$I36)*$K36)),ABS(($F36*100)-(Data!AV34-$G36)*$K36)))</f>
        <v>83.7748129706451</v>
      </c>
      <c r="BD36" s="57">
        <f>IF(uxbWorks!$E$9=1,BD43/BD37,CHOOSE($E36,SUMPRODUCT((BD37:BD$65)*($M37:$M$65)*($C37:AS$65=$B36)),IF(NOT(ISNUMBER(Data!AW34)),0,ABS(($F36*100)-(Data!AW34-$I36)*$K36)),ABS(($F36*100)-(Data!AW34-$G36)*$K36)))</f>
        <v>78.9055000958964</v>
      </c>
      <c r="BE36" s="57">
        <f>IF(uxbWorks!$E$9=1,BE43/BE37,CHOOSE($E36,SUMPRODUCT((BE37:BE$65)*($M37:$M$65)*($C37:AT$65=$B36)),IF(NOT(ISNUMBER(Data!AX34)),0,ABS(($F36*100)-(Data!AX34-$I36)*$K36)),ABS(($F36*100)-(Data!AX34-$G36)*$K36)))</f>
        <v>91.2707469514088</v>
      </c>
      <c r="BF36" s="57">
        <f>IF(uxbWorks!$E$9=1,BF43/BF37,CHOOSE($E36,SUMPRODUCT((BF37:BF$65)*($M37:$M$65)*($C37:AU$65=$B36)),IF(NOT(ISNUMBER(Data!AY34)),0,ABS(($F36*100)-(Data!AY34-$I36)*$K36)),ABS(($F36*100)-(Data!AY34-$G36)*$K36)))</f>
        <v>70.653010386129</v>
      </c>
      <c r="BG36" s="57">
        <f>IF(uxbWorks!$E$9=1,BG43/BG37,CHOOSE($E36,SUMPRODUCT((BG37:BG$65)*($M37:$M$65)*($C37:AV$65=$B36)),IF(NOT(ISNUMBER(Data!AZ34)),0,ABS(($F36*100)-(Data!AZ34-$I36)*$K36)),ABS(($F36*100)-(Data!AZ34-$G36)*$K36)))</f>
        <v>87.2845780818836</v>
      </c>
      <c r="BH36" s="57">
        <f>IF(uxbWorks!$E$9=1,BH43/BH37,CHOOSE($E36,SUMPRODUCT((BH37:BH$65)*($M37:$M$65)*($C37:AW$65=$B36)),IF(NOT(ISNUMBER(Data!BA34)),0,ABS(($F36*100)-(Data!BA34-$I36)*$K36)),ABS(($F36*100)-(Data!BA34-$G36)*$K36)))</f>
        <v>85.6470202431556</v>
      </c>
      <c r="BI36" s="57">
        <f>IF(uxbWorks!$E$9=1,BI43/BI37,CHOOSE($E36,SUMPRODUCT((BI37:BI$65)*($M37:$M$65)*($C37:AX$65=$B36)),IF(NOT(ISNUMBER(Data!BB34)),0,ABS(($F36*100)-(Data!BB34-$I36)*$K36)),ABS(($F36*100)-(Data!BB34-$G36)*$K36)))</f>
        <v>92.63179009032</v>
      </c>
      <c r="BJ36" s="57">
        <f>IF(uxbWorks!$E$9=1,BJ43/BJ37,CHOOSE($E36,SUMPRODUCT((BJ37:BJ$65)*($M37:$M$65)*($C37:AY$65=$B36)),IF(NOT(ISNUMBER(Data!BC34)),0,ABS(($F36*100)-(Data!BC34-$I36)*$K36)),ABS(($F36*100)-(Data!BC34-$G36)*$K36)))</f>
        <v>77.7112671880618</v>
      </c>
      <c r="BK36" s="57">
        <f>IF(uxbWorks!$E$9=1,BK43/BK37,CHOOSE($E36,SUMPRODUCT((BK37:BK$65)*($M37:$M$65)*($C37:AZ$65=$B36)),IF(NOT(ISNUMBER(Data!BD34)),0,ABS(($F36*100)-(Data!BD34-$I36)*$K36)),ABS(($F36*100)-(Data!BD34-$G36)*$K36)))</f>
        <v>78.7797870967666</v>
      </c>
      <c r="BM36" s="65"/>
    </row>
    <row r="37" s="21" customFormat="1" spans="1:65">
      <c r="A37" s="30"/>
      <c r="B37" s="30" t="str">
        <f>tblIndicators!B30</f>
        <v>INFSAF_IP</v>
      </c>
      <c r="C37" s="30" t="str">
        <f>tblIndicators!C30</f>
        <v>INFSAF</v>
      </c>
      <c r="D37" s="53">
        <f>tblIndicators!D30</f>
        <v>2</v>
      </c>
      <c r="E37" s="53">
        <f>tblIndicators!M30</f>
        <v>1</v>
      </c>
      <c r="F37" s="53">
        <f>tblIndicators!N30</f>
        <v>0</v>
      </c>
      <c r="G37" s="53">
        <f>tblIndicators!Q30</f>
        <v>0</v>
      </c>
      <c r="H37" s="53">
        <f>tblIndicators!R30</f>
        <v>0</v>
      </c>
      <c r="I37" s="52" t="str">
        <f>IF($E37=2,MIN(Data!G35:BD35),"")</f>
        <v/>
      </c>
      <c r="J37" s="52" t="str">
        <f>IF($E37=2,MAX(Data!G35:BD35),"")</f>
        <v/>
      </c>
      <c r="K37" s="58" t="str">
        <f t="shared" si="2"/>
        <v/>
      </c>
      <c r="L37" s="59" t="str">
        <f>tblIndicators!Z30</f>
        <v>3.1) Infrastructure Safety (Inputs)</v>
      </c>
      <c r="M37" s="60">
        <f>tblIndicators!AC30</f>
        <v>0.5</v>
      </c>
      <c r="N37" s="61">
        <f>CHOOSE($E37,SUMPRODUCT((N38:N$65)*($M38:$M$65)*($C38:C$65=$B37)),IF(NOT(ISNUMBER(Data!G35)),0,ABS(($F37*100)-(Data!G35-$I37)*$K37)),ABS(($F37*100)-(Data!G35-$G37)*$K37))</f>
        <v>72.52</v>
      </c>
      <c r="O37" s="61">
        <f>CHOOSE($E37,SUMPRODUCT((O38:O$65)*($M38:$M$65)*($C38:D$65=$B37)),IF(NOT(ISNUMBER(Data!H35)),0,ABS(($F37*100)-(Data!H35-$I37)*$K37)),ABS(($F37*100)-(Data!H35-$G37)*$K37))</f>
        <v>56</v>
      </c>
      <c r="P37" s="61">
        <f>CHOOSE($E37,SUMPRODUCT((P38:P$65)*($M38:$M$65)*($C38:E$65=$B37)),IF(NOT(ISNUMBER(Data!I35)),0,ABS(($F37*100)-(Data!I35-$I37)*$K37)),ABS(($F37*100)-(Data!I35-$G37)*$K37))</f>
        <v>87</v>
      </c>
      <c r="Q37" s="61">
        <f>CHOOSE($E37,SUMPRODUCT((Q38:Q$65)*($M38:$M$65)*($C38:F$65=$B37)),IF(NOT(ISNUMBER(Data!J35)),0,ABS(($F37*100)-(Data!J35-$I37)*$K37)),ABS(($F37*100)-(Data!J35-$G37)*$K37))</f>
        <v>77.5</v>
      </c>
      <c r="R37" s="61">
        <f>CHOOSE($E37,SUMPRODUCT((R38:R$65)*($M38:$M$65)*($C38:G$65=$B37)),IF(NOT(ISNUMBER(Data!K35)),0,ABS(($F37*100)-(Data!K35-$I37)*$K37)),ABS(($F37*100)-(Data!K35-$G37)*$K37))</f>
        <v>72.5</v>
      </c>
      <c r="S37" s="61">
        <f>CHOOSE($E37,SUMPRODUCT((S38:S$65)*($M38:$M$65)*($C38:H$65=$B37)),IF(NOT(ISNUMBER(Data!L35)),0,ABS(($F37*100)-(Data!L35-$I37)*$K37)),ABS(($F37*100)-(Data!L35-$G37)*$K37))</f>
        <v>85</v>
      </c>
      <c r="T37" s="61">
        <f>CHOOSE($E37,SUMPRODUCT((T38:T$65)*($M38:$M$65)*($C38:I$65=$B37)),IF(NOT(ISNUMBER(Data!M35)),0,ABS(($F37*100)-(Data!M35-$I37)*$K37)),ABS(($F37*100)-(Data!M35-$G37)*$K37))</f>
        <v>90</v>
      </c>
      <c r="U37" s="61">
        <f>CHOOSE($E37,SUMPRODUCT((U38:U$65)*($M38:$M$65)*($C38:J$65=$B37)),IF(NOT(ISNUMBER(Data!N35)),0,ABS(($F37*100)-(Data!N35-$I37)*$K37)),ABS(($F37*100)-(Data!N35-$G37)*$K37))</f>
        <v>90</v>
      </c>
      <c r="V37" s="61">
        <f>CHOOSE($E37,SUMPRODUCT((V38:V$65)*($M38:$M$65)*($C38:K$65=$B37)),IF(NOT(ISNUMBER(Data!O35)),0,ABS(($F37*100)-(Data!O35-$I37)*$K37)),ABS(($F37*100)-(Data!O35-$G37)*$K37))</f>
        <v>90</v>
      </c>
      <c r="W37" s="61">
        <f>CHOOSE($E37,SUMPRODUCT((W38:W$65)*($M38:$M$65)*($C38:L$65=$B37)),IF(NOT(ISNUMBER(Data!P35)),0,ABS(($F37*100)-(Data!P35-$I37)*$K37)),ABS(($F37*100)-(Data!P35-$G37)*$K37))</f>
        <v>90</v>
      </c>
      <c r="X37" s="61">
        <f>CHOOSE($E37,SUMPRODUCT((X38:X$65)*($M38:$M$65)*($C38:M$65=$B37)),IF(NOT(ISNUMBER(Data!Q35)),0,ABS(($F37*100)-(Data!Q35-$I37)*$K37)),ABS(($F37*100)-(Data!Q35-$G37)*$K37))</f>
        <v>65</v>
      </c>
      <c r="Y37" s="61">
        <f>CHOOSE($E37,SUMPRODUCT((Y38:Y$65)*($M38:$M$65)*($C38:N$65=$B37)),IF(NOT(ISNUMBER(Data!R35)),0,ABS(($F37*100)-(Data!R35-$I37)*$K37)),ABS(($F37*100)-(Data!R35-$G37)*$K37))</f>
        <v>83.5</v>
      </c>
      <c r="Z37" s="61">
        <f>CHOOSE($E37,SUMPRODUCT((Z38:Z$65)*($M38:$M$65)*($C38:O$65=$B37)),IF(NOT(ISNUMBER(Data!S35)),0,ABS(($F37*100)-(Data!S35-$I37)*$K37)),ABS(($F37*100)-(Data!S35-$G37)*$K37))</f>
        <v>71</v>
      </c>
      <c r="AA37" s="61">
        <f>CHOOSE($E37,SUMPRODUCT((AA38:AA$65)*($M38:$M$65)*($C38:P$65=$B37)),IF(NOT(ISNUMBER(Data!T35)),0,ABS(($F37*100)-(Data!T35-$I37)*$K37)),ABS(($F37*100)-(Data!T35-$G37)*$K37))</f>
        <v>90</v>
      </c>
      <c r="AB37" s="61">
        <f>CHOOSE($E37,SUMPRODUCT((AB38:AB$65)*($M38:$M$65)*($C38:Q$65=$B37)),IF(NOT(ISNUMBER(Data!U35)),0,ABS(($F37*100)-(Data!U35-$I37)*$K37)),ABS(($F37*100)-(Data!U35-$G37)*$K37))</f>
        <v>90</v>
      </c>
      <c r="AC37" s="61">
        <f>CHOOSE($E37,SUMPRODUCT((AC38:AC$65)*($M38:$M$65)*($C38:R$65=$B37)),IF(NOT(ISNUMBER(Data!V35)),0,ABS(($F37*100)-(Data!V35-$I37)*$K37)),ABS(($F37*100)-(Data!V35-$G37)*$K37))</f>
        <v>95.5</v>
      </c>
      <c r="AD37" s="61">
        <f>CHOOSE($E37,SUMPRODUCT((AD38:AD$65)*($M38:$M$65)*($C38:S$65=$B37)),IF(NOT(ISNUMBER(Data!W35)),0,ABS(($F37*100)-(Data!W35-$I37)*$K37)),ABS(($F37*100)-(Data!W35-$G37)*$K37))</f>
        <v>95.5</v>
      </c>
      <c r="AE37" s="61">
        <f>CHOOSE($E37,SUMPRODUCT((AE38:AE$65)*($M38:$M$65)*($C38:T$65=$B37)),IF(NOT(ISNUMBER(Data!X35)),0,ABS(($F37*100)-(Data!X35-$I37)*$K37)),ABS(($F37*100)-(Data!X35-$G37)*$K37))</f>
        <v>80</v>
      </c>
      <c r="AF37" s="61">
        <f>CHOOSE($E37,SUMPRODUCT((AF38:AF$65)*($M38:$M$65)*($C38:U$65=$B37)),IF(NOT(ISNUMBER(Data!Y35)),0,ABS(($F37*100)-(Data!Y35-$I37)*$K37)),ABS(($F37*100)-(Data!Y35-$G37)*$K37))</f>
        <v>73.5</v>
      </c>
      <c r="AG37" s="61">
        <f>CHOOSE($E37,SUMPRODUCT((AG38:AG$65)*($M38:$M$65)*($C38:V$65=$B37)),IF(NOT(ISNUMBER(Data!Z35)),0,ABS(($F37*100)-(Data!Z35-$I37)*$K37)),ABS(($F37*100)-(Data!Z35-$G37)*$K37))</f>
        <v>73.5</v>
      </c>
      <c r="AH37" s="61">
        <f>CHOOSE($E37,SUMPRODUCT((AH38:AH$65)*($M38:$M$65)*($C38:W$65=$B37)),IF(NOT(ISNUMBER(Data!AA35)),0,ABS(($F37*100)-(Data!AA35-$I37)*$K37)),ABS(($F37*100)-(Data!AA35-$G37)*$K37))</f>
        <v>73.5</v>
      </c>
      <c r="AI37" s="61">
        <f>CHOOSE($E37,SUMPRODUCT((AI38:AI$65)*($M38:$M$65)*($C38:X$65=$B37)),IF(NOT(ISNUMBER(Data!AB35)),0,ABS(($F37*100)-(Data!AB35-$I37)*$K37)),ABS(($F37*100)-(Data!AB35-$G37)*$K37))</f>
        <v>73.5</v>
      </c>
      <c r="AJ37" s="61">
        <f>CHOOSE($E37,SUMPRODUCT((AJ38:AJ$65)*($M38:$M$65)*($C38:Y$65=$B37)),IF(NOT(ISNUMBER(Data!AC35)),0,ABS(($F37*100)-(Data!AC35-$I37)*$K37)),ABS(($F37*100)-(Data!AC35-$G37)*$K37))</f>
        <v>73.5</v>
      </c>
      <c r="AK37" s="61">
        <f>CHOOSE($E37,SUMPRODUCT((AK38:AK$65)*($M38:$M$65)*($C38:Z$65=$B37)),IF(NOT(ISNUMBER(Data!AD35)),0,ABS(($F37*100)-(Data!AD35-$I37)*$K37)),ABS(($F37*100)-(Data!AD35-$G37)*$K37))</f>
        <v>32.5</v>
      </c>
      <c r="AL37" s="61">
        <f>CHOOSE($E37,SUMPRODUCT((AL38:AL$65)*($M38:$M$65)*($C38:AA$65=$B37)),IF(NOT(ISNUMBER(Data!AE35)),0,ABS(($F37*100)-(Data!AE35-$I37)*$K37)),ABS(($F37*100)-(Data!AE35-$G37)*$K37))</f>
        <v>37.5</v>
      </c>
      <c r="AM37" s="61">
        <f>CHOOSE($E37,SUMPRODUCT((AM38:AM$65)*($M38:$M$65)*($C38:AB$65=$B37)),IF(NOT(ISNUMBER(Data!AF35)),0,ABS(($F37*100)-(Data!AF35-$I37)*$K37)),ABS(($F37*100)-(Data!AF35-$G37)*$K37))</f>
        <v>50</v>
      </c>
      <c r="AN37" s="61">
        <f>CHOOSE($E37,SUMPRODUCT((AN38:AN$65)*($M38:$M$65)*($C38:AC$65=$B37)),IF(NOT(ISNUMBER(Data!AG35)),0,ABS(($F37*100)-(Data!AG35-$I37)*$K37)),ABS(($F37*100)-(Data!AG35-$G37)*$K37))</f>
        <v>43.5</v>
      </c>
      <c r="AO37" s="61">
        <f>CHOOSE($E37,SUMPRODUCT((AO38:AO$65)*($M38:$M$65)*($C38:AD$65=$B37)),IF(NOT(ISNUMBER(Data!AH35)),0,ABS(($F37*100)-(Data!AH35-$I37)*$K37)),ABS(($F37*100)-(Data!AH35-$G37)*$K37))</f>
        <v>95.5</v>
      </c>
      <c r="AP37" s="61">
        <f>CHOOSE($E37,SUMPRODUCT((AP38:AP$65)*($M38:$M$65)*($C38:AE$65=$B37)),IF(NOT(ISNUMBER(Data!AI35)),0,ABS(($F37*100)-(Data!AI35-$I37)*$K37)),ABS(($F37*100)-(Data!AI35-$G37)*$K37))</f>
        <v>95.5</v>
      </c>
      <c r="AQ37" s="61">
        <f>CHOOSE($E37,SUMPRODUCT((AQ38:AQ$65)*($M38:$M$65)*($C38:AF$65=$B37)),IF(NOT(ISNUMBER(Data!AJ35)),0,ABS(($F37*100)-(Data!AJ35-$I37)*$K37)),ABS(($F37*100)-(Data!AJ35-$G37)*$K37))</f>
        <v>96.5</v>
      </c>
      <c r="AR37" s="61">
        <f>CHOOSE($E37,SUMPRODUCT((AR38:AR$65)*($M38:$M$65)*($C38:AG$65=$B37)),IF(NOT(ISNUMBER(Data!AK35)),0,ABS(($F37*100)-(Data!AK35-$I37)*$K37)),ABS(($F37*100)-(Data!AK35-$G37)*$K37))</f>
        <v>84.5</v>
      </c>
      <c r="AS37" s="61">
        <f>CHOOSE($E37,SUMPRODUCT((AS38:AS$65)*($M38:$M$65)*($C38:AH$65=$B37)),IF(NOT(ISNUMBER(Data!AL35)),0,ABS(($F37*100)-(Data!AL35-$I37)*$K37)),ABS(($F37*100)-(Data!AL35-$G37)*$K37))</f>
        <v>65</v>
      </c>
      <c r="AT37" s="61">
        <f>CHOOSE($E37,SUMPRODUCT((AT38:AT$65)*($M38:$M$65)*($C38:AI$65=$B37)),IF(NOT(ISNUMBER(Data!AM35)),0,ABS(($F37*100)-(Data!AM35-$I37)*$K37)),ABS(($F37*100)-(Data!AM35-$G37)*$K37))</f>
        <v>55</v>
      </c>
      <c r="AU37" s="61">
        <f>CHOOSE($E37,SUMPRODUCT((AU38:AU$65)*($M38:$M$65)*($C38:AJ$65=$B37)),IF(NOT(ISNUMBER(Data!AN35)),0,ABS(($F37*100)-(Data!AN35-$I37)*$K37)),ABS(($F37*100)-(Data!AN35-$G37)*$K37))</f>
        <v>30</v>
      </c>
      <c r="AV37" s="61">
        <f>CHOOSE($E37,SUMPRODUCT((AV38:AV$65)*($M38:$M$65)*($C38:AK$65=$B37)),IF(NOT(ISNUMBER(Data!AO35)),0,ABS(($F37*100)-(Data!AO35-$I37)*$K37)),ABS(($F37*100)-(Data!AO35-$G37)*$K37))</f>
        <v>61</v>
      </c>
      <c r="AW37" s="61">
        <f>CHOOSE($E37,SUMPRODUCT((AW38:AW$65)*($M38:$M$65)*($C38:AL$65=$B37)),IF(NOT(ISNUMBER(Data!AP35)),0,ABS(($F37*100)-(Data!AP35-$I37)*$K37)),ABS(($F37*100)-(Data!AP35-$G37)*$K37))</f>
        <v>69</v>
      </c>
      <c r="AX37" s="61">
        <f>CHOOSE($E37,SUMPRODUCT((AX38:AX$65)*($M38:$M$65)*($C38:AM$65=$B37)),IF(NOT(ISNUMBER(Data!AQ35)),0,ABS(($F37*100)-(Data!AQ35-$I37)*$K37)),ABS(($F37*100)-(Data!AQ35-$G37)*$K37))</f>
        <v>53.5</v>
      </c>
      <c r="AY37" s="61">
        <f>CHOOSE($E37,SUMPRODUCT((AY38:AY$65)*($M38:$M$65)*($C38:AN$65=$B37)),IF(NOT(ISNUMBER(Data!AR35)),0,ABS(($F37*100)-(Data!AR35-$I37)*$K37)),ABS(($F37*100)-(Data!AR35-$G37)*$K37))</f>
        <v>86.5</v>
      </c>
      <c r="AZ37" s="61">
        <f>CHOOSE($E37,SUMPRODUCT((AZ38:AZ$65)*($M38:$M$65)*($C38:AO$65=$B37)),IF(NOT(ISNUMBER(Data!AS35)),0,ABS(($F37*100)-(Data!AS35-$I37)*$K37)),ABS(($F37*100)-(Data!AS35-$G37)*$K37))</f>
        <v>87</v>
      </c>
      <c r="BA37" s="61">
        <f>CHOOSE($E37,SUMPRODUCT((BA38:BA$65)*($M38:$M$65)*($C38:AP$65=$B37)),IF(NOT(ISNUMBER(Data!AT35)),0,ABS(($F37*100)-(Data!AT35-$I37)*$K37)),ABS(($F37*100)-(Data!AT35-$G37)*$K37))</f>
        <v>77.5</v>
      </c>
      <c r="BB37" s="61">
        <f>CHOOSE($E37,SUMPRODUCT((BB38:BB$65)*($M38:$M$65)*($C38:AQ$65=$B37)),IF(NOT(ISNUMBER(Data!AU35)),0,ABS(($F37*100)-(Data!AU35-$I37)*$K37)),ABS(($F37*100)-(Data!AU35-$G37)*$K37))</f>
        <v>95.5</v>
      </c>
      <c r="BC37" s="61">
        <f>CHOOSE($E37,SUMPRODUCT((BC38:BC$65)*($M38:$M$65)*($C38:AR$65=$B37)),IF(NOT(ISNUMBER(Data!AV35)),0,ABS(($F37*100)-(Data!AV35-$I37)*$K37)),ABS(($F37*100)-(Data!AV35-$G37)*$K37))</f>
        <v>93.5</v>
      </c>
      <c r="BD37" s="61">
        <f>CHOOSE($E37,SUMPRODUCT((BD38:BD$65)*($M38:$M$65)*($C38:AS$65=$B37)),IF(NOT(ISNUMBER(Data!AW35)),0,ABS(($F37*100)-(Data!AW35-$I37)*$K37)),ABS(($F37*100)-(Data!AW35-$G37)*$K37))</f>
        <v>88.5</v>
      </c>
      <c r="BE37" s="61">
        <f>CHOOSE($E37,SUMPRODUCT((BE38:BE$65)*($M38:$M$65)*($C38:AT$65=$B37)),IF(NOT(ISNUMBER(Data!AX35)),0,ABS(($F37*100)-(Data!AX35-$I37)*$K37)),ABS(($F37*100)-(Data!AX35-$G37)*$K37))</f>
        <v>94</v>
      </c>
      <c r="BF37" s="61">
        <f>CHOOSE($E37,SUMPRODUCT((BF38:BF$65)*($M38:$M$65)*($C38:AU$65=$B37)),IF(NOT(ISNUMBER(Data!AY35)),0,ABS(($F37*100)-(Data!AY35-$I37)*$K37)),ABS(($F37*100)-(Data!AY35-$G37)*$K37))</f>
        <v>77</v>
      </c>
      <c r="BG37" s="61">
        <f>CHOOSE($E37,SUMPRODUCT((BG38:BG$65)*($M38:$M$65)*($C38:AV$65=$B37)),IF(NOT(ISNUMBER(Data!AZ35)),0,ABS(($F37*100)-(Data!AZ35-$I37)*$K37)),ABS(($F37*100)-(Data!AZ35-$G37)*$K37))</f>
        <v>94.5</v>
      </c>
      <c r="BH37" s="61">
        <f>CHOOSE($E37,SUMPRODUCT((BH38:BH$65)*($M38:$M$65)*($C38:AW$65=$B37)),IF(NOT(ISNUMBER(Data!BA35)),0,ABS(($F37*100)-(Data!BA35-$I37)*$K37)),ABS(($F37*100)-(Data!BA35-$G37)*$K37))</f>
        <v>94.5</v>
      </c>
      <c r="BI37" s="61">
        <f>CHOOSE($E37,SUMPRODUCT((BI38:BI$65)*($M38:$M$65)*($C38:AX$65=$B37)),IF(NOT(ISNUMBER(Data!BB35)),0,ABS(($F37*100)-(Data!BB35-$I37)*$K37)),ABS(($F37*100)-(Data!BB35-$G37)*$K37))</f>
        <v>94</v>
      </c>
      <c r="BJ37" s="61">
        <f>CHOOSE($E37,SUMPRODUCT((BJ38:BJ$65)*($M38:$M$65)*($C38:AY$65=$B37)),IF(NOT(ISNUMBER(Data!BC35)),0,ABS(($F37*100)-(Data!BC35-$I37)*$K37)),ABS(($F37*100)-(Data!BC35-$G37)*$K37))</f>
        <v>76</v>
      </c>
      <c r="BK37" s="61">
        <f>CHOOSE($E37,SUMPRODUCT((BK38:BK$65)*($M38:$M$65)*($C38:AZ$65=$B37)),IF(NOT(ISNUMBER(Data!BD35)),0,ABS(($F37*100)-(Data!BD35-$I37)*$K37)),ABS(($F37*100)-(Data!BD35-$G37)*$K37))</f>
        <v>75.75</v>
      </c>
      <c r="BM37" s="65"/>
    </row>
    <row r="38" s="22" customFormat="1" spans="1:65">
      <c r="A38" s="24"/>
      <c r="B38" s="24" t="str">
        <f>tblIndicators!B31</f>
        <v>INFSAF_IP_01</v>
      </c>
      <c r="C38" s="24" t="str">
        <f>tblIndicators!C31</f>
        <v>INFSAF_IP</v>
      </c>
      <c r="D38" s="52">
        <f>tblIndicators!D31</f>
        <v>3</v>
      </c>
      <c r="E38" s="52">
        <f>tblIndicators!M31</f>
        <v>3</v>
      </c>
      <c r="F38" s="52">
        <f>tblIndicators!N31</f>
        <v>0</v>
      </c>
      <c r="G38" s="52">
        <f>tblIndicators!Q31</f>
        <v>0</v>
      </c>
      <c r="H38" s="52">
        <f>tblIndicators!R31</f>
        <v>10</v>
      </c>
      <c r="I38" s="52" t="str">
        <f>IF($E38=2,MIN(Data!G36:BD36),"")</f>
        <v/>
      </c>
      <c r="J38" s="52" t="str">
        <f>IF($E38=2,MAX(Data!G36:BD36),"")</f>
        <v/>
      </c>
      <c r="K38" s="54">
        <f t="shared" si="2"/>
        <v>10</v>
      </c>
      <c r="L38" s="62" t="str">
        <f>tblIndicators!Z31</f>
        <v>3.1.1) Enforcement of transport safety</v>
      </c>
      <c r="M38" s="63">
        <f>tblIndicators!AC31</f>
        <v>0.2</v>
      </c>
      <c r="N38" s="64">
        <f>CHOOSE($E38,SUMPRODUCT((N39:N$65)*($M39:$M$65)*($C39:C$65=$B38)),IF(NOT(ISNUMBER(Data!G36)),0,ABS(($F38*100)-(Data!G36-$I38)*$K38)),ABS(($F38*100)-(Data!G36-$G38)*$K38))</f>
        <v>62.6</v>
      </c>
      <c r="O38" s="64">
        <f>CHOOSE($E38,SUMPRODUCT((O39:O$65)*($M39:$M$65)*($C39:D$65=$B38)),IF(NOT(ISNUMBER(Data!H36)),0,ABS(($F38*100)-(Data!H36-$I38)*$K38)),ABS(($F38*100)-(Data!H36-$G38)*$K38))</f>
        <v>30</v>
      </c>
      <c r="P38" s="64">
        <f>CHOOSE($E38,SUMPRODUCT((P39:P$65)*($M39:$M$65)*($C39:E$65=$B38)),IF(NOT(ISNUMBER(Data!I36)),0,ABS(($F38*100)-(Data!I36-$I38)*$K38)),ABS(($F38*100)-(Data!I36-$G38)*$K38))</f>
        <v>60</v>
      </c>
      <c r="Q38" s="64">
        <f>CHOOSE($E38,SUMPRODUCT((Q39:Q$65)*($M39:$M$65)*($C39:F$65=$B38)),IF(NOT(ISNUMBER(Data!J36)),0,ABS(($F38*100)-(Data!J36-$I38)*$K38)),ABS(($F38*100)-(Data!J36-$G38)*$K38))</f>
        <v>62.5</v>
      </c>
      <c r="R38" s="64">
        <f>CHOOSE($E38,SUMPRODUCT((R39:R$65)*($M39:$M$65)*($C39:G$65=$B38)),IF(NOT(ISNUMBER(Data!K36)),0,ABS(($F38*100)-(Data!K36-$I38)*$K38)),ABS(($F38*100)-(Data!K36-$G38)*$K38))</f>
        <v>62.5</v>
      </c>
      <c r="S38" s="64">
        <f>CHOOSE($E38,SUMPRODUCT((S39:S$65)*($M39:$M$65)*($C39:H$65=$B38)),IF(NOT(ISNUMBER(Data!L36)),0,ABS(($F38*100)-(Data!L36-$I38)*$K38)),ABS(($F38*100)-(Data!L36-$G38)*$K38))</f>
        <v>75</v>
      </c>
      <c r="T38" s="64">
        <f>CHOOSE($E38,SUMPRODUCT((T39:T$65)*($M39:$M$65)*($C39:I$65=$B38)),IF(NOT(ISNUMBER(Data!M36)),0,ABS(($F38*100)-(Data!M36-$I38)*$K38)),ABS(($F38*100)-(Data!M36-$G38)*$K38))</f>
        <v>75</v>
      </c>
      <c r="U38" s="64">
        <f>CHOOSE($E38,SUMPRODUCT((U39:U$65)*($M39:$M$65)*($C39:J$65=$B38)),IF(NOT(ISNUMBER(Data!N36)),0,ABS(($F38*100)-(Data!N36-$I38)*$K38)),ABS(($F38*100)-(Data!N36-$G38)*$K38))</f>
        <v>75</v>
      </c>
      <c r="V38" s="64">
        <f>CHOOSE($E38,SUMPRODUCT((V39:V$65)*($M39:$M$65)*($C39:K$65=$B38)),IF(NOT(ISNUMBER(Data!O36)),0,ABS(($F38*100)-(Data!O36-$I38)*$K38)),ABS(($F38*100)-(Data!O36-$G38)*$K38))</f>
        <v>75</v>
      </c>
      <c r="W38" s="64">
        <f>CHOOSE($E38,SUMPRODUCT((W39:W$65)*($M39:$M$65)*($C39:L$65=$B38)),IF(NOT(ISNUMBER(Data!P36)),0,ABS(($F38*100)-(Data!P36-$I38)*$K38)),ABS(($F38*100)-(Data!P36-$G38)*$K38))</f>
        <v>75</v>
      </c>
      <c r="X38" s="64">
        <f>CHOOSE($E38,SUMPRODUCT((X39:X$65)*($M39:$M$65)*($C39:M$65=$B38)),IF(NOT(ISNUMBER(Data!Q36)),0,ABS(($F38*100)-(Data!Q36-$I38)*$K38)),ABS(($F38*100)-(Data!Q36-$G38)*$K38))</f>
        <v>50</v>
      </c>
      <c r="Y38" s="64">
        <f>CHOOSE($E38,SUMPRODUCT((Y39:Y$65)*($M39:$M$65)*($C39:N$65=$B38)),IF(NOT(ISNUMBER(Data!R36)),0,ABS(($F38*100)-(Data!R36-$I38)*$K38)),ABS(($F38*100)-(Data!R36-$G38)*$K38))</f>
        <v>42.5</v>
      </c>
      <c r="Z38" s="64">
        <f>CHOOSE($E38,SUMPRODUCT((Z39:Z$65)*($M39:$M$65)*($C39:O$65=$B38)),IF(NOT(ISNUMBER(Data!S36)),0,ABS(($F38*100)-(Data!S36-$I38)*$K38)),ABS(($F38*100)-(Data!S36-$G38)*$K38))</f>
        <v>55</v>
      </c>
      <c r="AA38" s="64">
        <f>CHOOSE($E38,SUMPRODUCT((AA39:AA$65)*($M39:$M$65)*($C39:P$65=$B38)),IF(NOT(ISNUMBER(Data!T36)),0,ABS(($F38*100)-(Data!T36-$I38)*$K38)),ABS(($F38*100)-(Data!T36-$G38)*$K38))</f>
        <v>75</v>
      </c>
      <c r="AB38" s="64">
        <f>CHOOSE($E38,SUMPRODUCT((AB39:AB$65)*($M39:$M$65)*($C39:Q$65=$B38)),IF(NOT(ISNUMBER(Data!U36)),0,ABS(($F38*100)-(Data!U36-$I38)*$K38)),ABS(($F38*100)-(Data!U36-$G38)*$K38))</f>
        <v>75</v>
      </c>
      <c r="AC38" s="64">
        <f>CHOOSE($E38,SUMPRODUCT((AC39:AC$65)*($M39:$M$65)*($C39:R$65=$B38)),IF(NOT(ISNUMBER(Data!V36)),0,ABS(($F38*100)-(Data!V36-$I38)*$K38)),ABS(($F38*100)-(Data!V36-$G38)*$K38))</f>
        <v>77.5</v>
      </c>
      <c r="AD38" s="64">
        <f>CHOOSE($E38,SUMPRODUCT((AD39:AD$65)*($M39:$M$65)*($C39:S$65=$B38)),IF(NOT(ISNUMBER(Data!W36)),0,ABS(($F38*100)-(Data!W36-$I38)*$K38)),ABS(($F38*100)-(Data!W36-$G38)*$K38))</f>
        <v>77.5</v>
      </c>
      <c r="AE38" s="64">
        <f>CHOOSE($E38,SUMPRODUCT((AE39:AE$65)*($M39:$M$65)*($C39:T$65=$B38)),IF(NOT(ISNUMBER(Data!X36)),0,ABS(($F38*100)-(Data!X36-$I38)*$K38)),ABS(($F38*100)-(Data!X36-$G38)*$K38))</f>
        <v>0</v>
      </c>
      <c r="AF38" s="64">
        <f>CHOOSE($E38,SUMPRODUCT((AF39:AF$65)*($M39:$M$65)*($C39:U$65=$B38)),IF(NOT(ISNUMBER(Data!Y36)),0,ABS(($F38*100)-(Data!Y36-$I38)*$K38)),ABS(($F38*100)-(Data!Y36-$G38)*$K38))</f>
        <v>42.5</v>
      </c>
      <c r="AG38" s="64">
        <f>CHOOSE($E38,SUMPRODUCT((AG39:AG$65)*($M39:$M$65)*($C39:V$65=$B38)),IF(NOT(ISNUMBER(Data!Z36)),0,ABS(($F38*100)-(Data!Z36-$I38)*$K38)),ABS(($F38*100)-(Data!Z36-$G38)*$K38))</f>
        <v>42.5</v>
      </c>
      <c r="AH38" s="64">
        <f>CHOOSE($E38,SUMPRODUCT((AH39:AH$65)*($M39:$M$65)*($C39:W$65=$B38)),IF(NOT(ISNUMBER(Data!AA36)),0,ABS(($F38*100)-(Data!AA36-$I38)*$K38)),ABS(($F38*100)-(Data!AA36-$G38)*$K38))</f>
        <v>42.5</v>
      </c>
      <c r="AI38" s="64">
        <f>CHOOSE($E38,SUMPRODUCT((AI39:AI$65)*($M39:$M$65)*($C39:X$65=$B38)),IF(NOT(ISNUMBER(Data!AB36)),0,ABS(($F38*100)-(Data!AB36-$I38)*$K38)),ABS(($F38*100)-(Data!AB36-$G38)*$K38))</f>
        <v>42.5</v>
      </c>
      <c r="AJ38" s="64">
        <f>CHOOSE($E38,SUMPRODUCT((AJ39:AJ$65)*($M39:$M$65)*($C39:Y$65=$B38)),IF(NOT(ISNUMBER(Data!AC36)),0,ABS(($F38*100)-(Data!AC36-$I38)*$K38)),ABS(($F38*100)-(Data!AC36-$G38)*$K38))</f>
        <v>42.5</v>
      </c>
      <c r="AK38" s="64">
        <f>CHOOSE($E38,SUMPRODUCT((AK39:AK$65)*($M39:$M$65)*($C39:Z$65=$B38)),IF(NOT(ISNUMBER(Data!AD36)),0,ABS(($F38*100)-(Data!AD36-$I38)*$K38)),ABS(($F38*100)-(Data!AD36-$G38)*$K38))</f>
        <v>25</v>
      </c>
      <c r="AL38" s="64">
        <f>CHOOSE($E38,SUMPRODUCT((AL39:AL$65)*($M39:$M$65)*($C39:AA$65=$B38)),IF(NOT(ISNUMBER(Data!AE36)),0,ABS(($F38*100)-(Data!AE36-$I38)*$K38)),ABS(($F38*100)-(Data!AE36-$G38)*$K38))</f>
        <v>25</v>
      </c>
      <c r="AM38" s="64">
        <f>CHOOSE($E38,SUMPRODUCT((AM39:AM$65)*($M39:$M$65)*($C39:AB$65=$B38)),IF(NOT(ISNUMBER(Data!AF36)),0,ABS(($F38*100)-(Data!AF36-$I38)*$K38)),ABS(($F38*100)-(Data!AF36-$G38)*$K38))</f>
        <v>62.5</v>
      </c>
      <c r="AN38" s="64">
        <f>CHOOSE($E38,SUMPRODUCT((AN39:AN$65)*($M39:$M$65)*($C39:AC$65=$B38)),IF(NOT(ISNUMBER(Data!AG36)),0,ABS(($F38*100)-(Data!AG36-$I38)*$K38)),ABS(($F38*100)-(Data!AG36-$G38)*$K38))</f>
        <v>55</v>
      </c>
      <c r="AO38" s="64">
        <f>CHOOSE($E38,SUMPRODUCT((AO39:AO$65)*($M39:$M$65)*($C39:AD$65=$B38)),IF(NOT(ISNUMBER(Data!AH36)),0,ABS(($F38*100)-(Data!AH36-$I38)*$K38)),ABS(($F38*100)-(Data!AH36-$G38)*$K38))</f>
        <v>77.5</v>
      </c>
      <c r="AP38" s="64">
        <f>CHOOSE($E38,SUMPRODUCT((AP39:AP$65)*($M39:$M$65)*($C39:AE$65=$B38)),IF(NOT(ISNUMBER(Data!AI36)),0,ABS(($F38*100)-(Data!AI36-$I38)*$K38)),ABS(($F38*100)-(Data!AI36-$G38)*$K38))</f>
        <v>77.5</v>
      </c>
      <c r="AQ38" s="64">
        <f>CHOOSE($E38,SUMPRODUCT((AQ39:AQ$65)*($M39:$M$65)*($C39:AF$65=$B38)),IF(NOT(ISNUMBER(Data!AJ36)),0,ABS(($F38*100)-(Data!AJ36-$I38)*$K38)),ABS(($F38*100)-(Data!AJ36-$G38)*$K38))</f>
        <v>82.5</v>
      </c>
      <c r="AR38" s="64">
        <f>CHOOSE($E38,SUMPRODUCT((AR39:AR$65)*($M39:$M$65)*($C39:AG$65=$B38)),IF(NOT(ISNUMBER(Data!AK36)),0,ABS(($F38*100)-(Data!AK36-$I38)*$K38)),ABS(($F38*100)-(Data!AK36-$G38)*$K38))</f>
        <v>72.5</v>
      </c>
      <c r="AS38" s="64">
        <f>CHOOSE($E38,SUMPRODUCT((AS39:AS$65)*($M39:$M$65)*($C39:AH$65=$B38)),IF(NOT(ISNUMBER(Data!AL36)),0,ABS(($F38*100)-(Data!AL36-$I38)*$K38)),ABS(($F38*100)-(Data!AL36-$G38)*$K38))</f>
        <v>0</v>
      </c>
      <c r="AT38" s="64">
        <f>CHOOSE($E38,SUMPRODUCT((AT39:AT$65)*($M39:$M$65)*($C39:AI$65=$B38)),IF(NOT(ISNUMBER(Data!AM36)),0,ABS(($F38*100)-(Data!AM36-$I38)*$K38)),ABS(($F38*100)-(Data!AM36-$G38)*$K38))</f>
        <v>50</v>
      </c>
      <c r="AU38" s="64">
        <f>CHOOSE($E38,SUMPRODUCT((AU39:AU$65)*($M39:$M$65)*($C39:AJ$65=$B38)),IF(NOT(ISNUMBER(Data!AN36)),0,ABS(($F38*100)-(Data!AN36-$I38)*$K38)),ABS(($F38*100)-(Data!AN36-$G38)*$K38))</f>
        <v>0</v>
      </c>
      <c r="AV38" s="64">
        <f>CHOOSE($E38,SUMPRODUCT((AV39:AV$65)*($M39:$M$65)*($C39:AK$65=$B38)),IF(NOT(ISNUMBER(Data!AO36)),0,ABS(($F38*100)-(Data!AO36-$I38)*$K38)),ABS(($F38*100)-(Data!AO36-$G38)*$K38))</f>
        <v>30</v>
      </c>
      <c r="AW38" s="64">
        <f>CHOOSE($E38,SUMPRODUCT((AW39:AW$65)*($M39:$M$65)*($C39:AL$65=$B38)),IF(NOT(ISNUMBER(Data!AP36)),0,ABS(($F38*100)-(Data!AP36-$I38)*$K38)),ABS(($F38*100)-(Data!AP36-$G38)*$K38))</f>
        <v>70</v>
      </c>
      <c r="AX38" s="64">
        <f>CHOOSE($E38,SUMPRODUCT((AX39:AX$65)*($M39:$M$65)*($C39:AM$65=$B38)),IF(NOT(ISNUMBER(Data!AQ36)),0,ABS(($F38*100)-(Data!AQ36-$I38)*$K38)),ABS(($F38*100)-(Data!AQ36-$G38)*$K38))</f>
        <v>67.5</v>
      </c>
      <c r="AY38" s="64">
        <f>CHOOSE($E38,SUMPRODUCT((AY39:AY$65)*($M39:$M$65)*($C39:AN$65=$B38)),IF(NOT(ISNUMBER(Data!AR36)),0,ABS(($F38*100)-(Data!AR36-$I38)*$K38)),ABS(($F38*100)-(Data!AR36-$G38)*$K38))</f>
        <v>82.5</v>
      </c>
      <c r="AZ38" s="64">
        <f>CHOOSE($E38,SUMPRODUCT((AZ39:AZ$65)*($M39:$M$65)*($C39:AO$65=$B38)),IF(NOT(ISNUMBER(Data!AS36)),0,ABS(($F38*100)-(Data!AS36-$I38)*$K38)),ABS(($F38*100)-(Data!AS36-$G38)*$K38))</f>
        <v>60</v>
      </c>
      <c r="BA38" s="64">
        <f>CHOOSE($E38,SUMPRODUCT((BA39:BA$65)*($M39:$M$65)*($C39:AP$65=$B38)),IF(NOT(ISNUMBER(Data!AT36)),0,ABS(($F38*100)-(Data!AT36-$I38)*$K38)),ABS(($F38*100)-(Data!AT36-$G38)*$K38))</f>
        <v>87.5</v>
      </c>
      <c r="BB38" s="64">
        <f>CHOOSE($E38,SUMPRODUCT((BB39:BB$65)*($M39:$M$65)*($C39:AQ$65=$B38)),IF(NOT(ISNUMBER(Data!AU36)),0,ABS(($F38*100)-(Data!AU36-$I38)*$K38)),ABS(($F38*100)-(Data!AU36-$G38)*$K38))</f>
        <v>77.5</v>
      </c>
      <c r="BC38" s="64">
        <f>CHOOSE($E38,SUMPRODUCT((BC39:BC$65)*($M39:$M$65)*($C39:AR$65=$B38)),IF(NOT(ISNUMBER(Data!AV36)),0,ABS(($F38*100)-(Data!AV36-$I38)*$K38)),ABS(($F38*100)-(Data!AV36-$G38)*$K38))</f>
        <v>67.5</v>
      </c>
      <c r="BD38" s="64">
        <f>CHOOSE($E38,SUMPRODUCT((BD39:BD$65)*($M39:$M$65)*($C39:AS$65=$B38)),IF(NOT(ISNUMBER(Data!AW36)),0,ABS(($F38*100)-(Data!AW36-$I38)*$K38)),ABS(($F38*100)-(Data!AW36-$G38)*$K38))</f>
        <v>67.5</v>
      </c>
      <c r="BE38" s="64">
        <f>CHOOSE($E38,SUMPRODUCT((BE39:BE$65)*($M39:$M$65)*($C39:AT$65=$B38)),IF(NOT(ISNUMBER(Data!AX36)),0,ABS(($F38*100)-(Data!AX36-$I38)*$K38)),ABS(($F38*100)-(Data!AX36-$G38)*$K38))</f>
        <v>70</v>
      </c>
      <c r="BF38" s="64">
        <f>CHOOSE($E38,SUMPRODUCT((BF39:BF$65)*($M39:$M$65)*($C39:AU$65=$B38)),IF(NOT(ISNUMBER(Data!AY36)),0,ABS(($F38*100)-(Data!AY36-$I38)*$K38)),ABS(($F38*100)-(Data!AY36-$G38)*$K38))</f>
        <v>60</v>
      </c>
      <c r="BG38" s="64">
        <f>CHOOSE($E38,SUMPRODUCT((BG39:BG$65)*($M39:$M$65)*($C39:AV$65=$B38)),IF(NOT(ISNUMBER(Data!AZ36)),0,ABS(($F38*100)-(Data!AZ36-$I38)*$K38)),ABS(($F38*100)-(Data!AZ36-$G38)*$K38))</f>
        <v>72.5</v>
      </c>
      <c r="BH38" s="64">
        <f>CHOOSE($E38,SUMPRODUCT((BH39:BH$65)*($M39:$M$65)*($C39:AW$65=$B38)),IF(NOT(ISNUMBER(Data!BA36)),0,ABS(($F38*100)-(Data!BA36-$I38)*$K38)),ABS(($F38*100)-(Data!BA36-$G38)*$K38))</f>
        <v>72.5</v>
      </c>
      <c r="BI38" s="64">
        <f>CHOOSE($E38,SUMPRODUCT((BI39:BI$65)*($M39:$M$65)*($C39:AX$65=$B38)),IF(NOT(ISNUMBER(Data!BB36)),0,ABS(($F38*100)-(Data!BB36-$I38)*$K38)),ABS(($F38*100)-(Data!BB36-$G38)*$K38))</f>
        <v>70</v>
      </c>
      <c r="BJ38" s="64">
        <f>CHOOSE($E38,SUMPRODUCT((BJ39:BJ$65)*($M39:$M$65)*($C39:AY$65=$B38)),IF(NOT(ISNUMBER(Data!BC36)),0,ABS(($F38*100)-(Data!BC36-$I38)*$K38)),ABS(($F38*100)-(Data!BC36-$G38)*$K38))</f>
        <v>80</v>
      </c>
      <c r="BK38" s="64">
        <f>CHOOSE($E38,SUMPRODUCT((BK39:BK$65)*($M39:$M$65)*($C39:AZ$65=$B38)),IF(NOT(ISNUMBER(Data!BD36)),0,ABS(($F38*100)-(Data!BD36-$I38)*$K38)),ABS(($F38*100)-(Data!BD36-$G38)*$K38))</f>
        <v>78.75</v>
      </c>
      <c r="BM38" s="65"/>
    </row>
    <row r="39" s="22" customFormat="1" spans="1:65">
      <c r="A39" s="24"/>
      <c r="B39" s="24" t="str">
        <f>tblIndicators!B32</f>
        <v>INFSAF_IP_02</v>
      </c>
      <c r="C39" s="24" t="str">
        <f>tblIndicators!C32</f>
        <v>INFSAF_IP</v>
      </c>
      <c r="D39" s="52">
        <f>tblIndicators!D32</f>
        <v>3</v>
      </c>
      <c r="E39" s="52">
        <f>tblIndicators!M32</f>
        <v>3</v>
      </c>
      <c r="F39" s="52">
        <f>tblIndicators!N32</f>
        <v>0</v>
      </c>
      <c r="G39" s="52">
        <f>tblIndicators!Q32</f>
        <v>1</v>
      </c>
      <c r="H39" s="52">
        <f>tblIndicators!R32</f>
        <v>5</v>
      </c>
      <c r="I39" s="52" t="str">
        <f>IF($E39=2,MIN(Data!G37:BD37),"")</f>
        <v/>
      </c>
      <c r="J39" s="52" t="str">
        <f>IF($E39=2,MAX(Data!G37:BD37),"")</f>
        <v/>
      </c>
      <c r="K39" s="54">
        <f t="shared" ref="K39:K65" si="3">CHOOSE($E39,"",100/(J39-I39),100/(H39-G39))</f>
        <v>25</v>
      </c>
      <c r="L39" s="62" t="str">
        <f>tblIndicators!Z32</f>
        <v>3.1.2) Pedestrian friendliness</v>
      </c>
      <c r="M39" s="63">
        <f>tblIndicators!AC32</f>
        <v>0.2</v>
      </c>
      <c r="N39" s="64">
        <f>CHOOSE($E39,SUMPRODUCT((N40:N$65)*($M40:$M$65)*($C40:C$65=$B39)),IF(NOT(ISNUMBER(Data!G37)),0,ABS(($F39*100)-(Data!G37-$I39)*$K39)),ABS(($F39*100)-(Data!G37-$G39)*$K39))</f>
        <v>100</v>
      </c>
      <c r="O39" s="64">
        <f>CHOOSE($E39,SUMPRODUCT((O40:O$65)*($M40:$M$65)*($C40:D$65=$B39)),IF(NOT(ISNUMBER(Data!H37)),0,ABS(($F39*100)-(Data!H37-$I39)*$K39)),ABS(($F39*100)-(Data!H37-$G39)*$K39))</f>
        <v>100</v>
      </c>
      <c r="P39" s="64">
        <f>CHOOSE($E39,SUMPRODUCT((P40:P$65)*($M40:$M$65)*($C40:E$65=$B39)),IF(NOT(ISNUMBER(Data!I37)),0,ABS(($F39*100)-(Data!I37-$I39)*$K39)),ABS(($F39*100)-(Data!I37-$G39)*$K39))</f>
        <v>100</v>
      </c>
      <c r="Q39" s="64">
        <f>CHOOSE($E39,SUMPRODUCT((Q40:Q$65)*($M40:$M$65)*($C40:F$65=$B39)),IF(NOT(ISNUMBER(Data!J37)),0,ABS(($F39*100)-(Data!J37-$I39)*$K39)),ABS(($F39*100)-(Data!J37-$G39)*$K39))</f>
        <v>100</v>
      </c>
      <c r="R39" s="64">
        <f>CHOOSE($E39,SUMPRODUCT((R40:R$65)*($M40:$M$65)*($C40:G$65=$B39)),IF(NOT(ISNUMBER(Data!K37)),0,ABS(($F39*100)-(Data!K37-$I39)*$K39)),ABS(($F39*100)-(Data!K37-$G39)*$K39))</f>
        <v>100</v>
      </c>
      <c r="S39" s="64">
        <f>CHOOSE($E39,SUMPRODUCT((S40:S$65)*($M40:$M$65)*($C40:H$65=$B39)),IF(NOT(ISNUMBER(Data!L37)),0,ABS(($F39*100)-(Data!L37-$I39)*$K39)),ABS(($F39*100)-(Data!L37-$G39)*$K39))</f>
        <v>100</v>
      </c>
      <c r="T39" s="64">
        <f>CHOOSE($E39,SUMPRODUCT((T40:T$65)*($M40:$M$65)*($C40:I$65=$B39)),IF(NOT(ISNUMBER(Data!M37)),0,ABS(($F39*100)-(Data!M37-$I39)*$K39)),ABS(($F39*100)-(Data!M37-$G39)*$K39))</f>
        <v>100</v>
      </c>
      <c r="U39" s="64">
        <f>CHOOSE($E39,SUMPRODUCT((U40:U$65)*($M40:$M$65)*($C40:J$65=$B39)),IF(NOT(ISNUMBER(Data!N37)),0,ABS(($F39*100)-(Data!N37-$I39)*$K39)),ABS(($F39*100)-(Data!N37-$G39)*$K39))</f>
        <v>100</v>
      </c>
      <c r="V39" s="64">
        <f>CHOOSE($E39,SUMPRODUCT((V40:V$65)*($M40:$M$65)*($C40:K$65=$B39)),IF(NOT(ISNUMBER(Data!O37)),0,ABS(($F39*100)-(Data!O37-$I39)*$K39)),ABS(($F39*100)-(Data!O37-$G39)*$K39))</f>
        <v>100</v>
      </c>
      <c r="W39" s="64">
        <f>CHOOSE($E39,SUMPRODUCT((W40:W$65)*($M40:$M$65)*($C40:L$65=$B39)),IF(NOT(ISNUMBER(Data!P37)),0,ABS(($F39*100)-(Data!P37-$I39)*$K39)),ABS(($F39*100)-(Data!P37-$G39)*$K39))</f>
        <v>100</v>
      </c>
      <c r="X39" s="64">
        <f>CHOOSE($E39,SUMPRODUCT((X40:X$65)*($M40:$M$65)*($C40:M$65=$B39)),IF(NOT(ISNUMBER(Data!Q37)),0,ABS(($F39*100)-(Data!Q37-$I39)*$K39)),ABS(($F39*100)-(Data!Q37-$G39)*$K39))</f>
        <v>100</v>
      </c>
      <c r="Y39" s="64">
        <f>CHOOSE($E39,SUMPRODUCT((Y40:Y$65)*($M40:$M$65)*($C40:N$65=$B39)),IF(NOT(ISNUMBER(Data!R37)),0,ABS(($F39*100)-(Data!R37-$I39)*$K39)),ABS(($F39*100)-(Data!R37-$G39)*$K39))</f>
        <v>100</v>
      </c>
      <c r="Z39" s="64">
        <f>CHOOSE($E39,SUMPRODUCT((Z40:Z$65)*($M40:$M$65)*($C40:O$65=$B39)),IF(NOT(ISNUMBER(Data!S37)),0,ABS(($F39*100)-(Data!S37-$I39)*$K39)),ABS(($F39*100)-(Data!S37-$G39)*$K39))</f>
        <v>25</v>
      </c>
      <c r="AA39" s="64">
        <f>CHOOSE($E39,SUMPRODUCT((AA40:AA$65)*($M40:$M$65)*($C40:P$65=$B39)),IF(NOT(ISNUMBER(Data!T37)),0,ABS(($F39*100)-(Data!T37-$I39)*$K39)),ABS(($F39*100)-(Data!T37-$G39)*$K39))</f>
        <v>100</v>
      </c>
      <c r="AB39" s="64">
        <f>CHOOSE($E39,SUMPRODUCT((AB40:AB$65)*($M40:$M$65)*($C40:Q$65=$B39)),IF(NOT(ISNUMBER(Data!U37)),0,ABS(($F39*100)-(Data!U37-$I39)*$K39)),ABS(($F39*100)-(Data!U37-$G39)*$K39))</f>
        <v>100</v>
      </c>
      <c r="AC39" s="64">
        <f>CHOOSE($E39,SUMPRODUCT((AC40:AC$65)*($M40:$M$65)*($C40:R$65=$B39)),IF(NOT(ISNUMBER(Data!V37)),0,ABS(($F39*100)-(Data!V37-$I39)*$K39)),ABS(($F39*100)-(Data!V37-$G39)*$K39))</f>
        <v>100</v>
      </c>
      <c r="AD39" s="64">
        <f>CHOOSE($E39,SUMPRODUCT((AD40:AD$65)*($M40:$M$65)*($C40:S$65=$B39)),IF(NOT(ISNUMBER(Data!W37)),0,ABS(($F39*100)-(Data!W37-$I39)*$K39)),ABS(($F39*100)-(Data!W37-$G39)*$K39))</f>
        <v>100</v>
      </c>
      <c r="AE39" s="64">
        <f>CHOOSE($E39,SUMPRODUCT((AE40:AE$65)*($M40:$M$65)*($C40:T$65=$B39)),IF(NOT(ISNUMBER(Data!X37)),0,ABS(($F39*100)-(Data!X37-$I39)*$K39)),ABS(($F39*100)-(Data!X37-$G39)*$K39))</f>
        <v>100</v>
      </c>
      <c r="AF39" s="64">
        <f>CHOOSE($E39,SUMPRODUCT((AF40:AF$65)*($M40:$M$65)*($C40:U$65=$B39)),IF(NOT(ISNUMBER(Data!Y37)),0,ABS(($F39*100)-(Data!Y37-$I39)*$K39)),ABS(($F39*100)-(Data!Y37-$G39)*$K39))</f>
        <v>100</v>
      </c>
      <c r="AG39" s="64">
        <f>CHOOSE($E39,SUMPRODUCT((AG40:AG$65)*($M40:$M$65)*($C40:V$65=$B39)),IF(NOT(ISNUMBER(Data!Z37)),0,ABS(($F39*100)-(Data!Z37-$I39)*$K39)),ABS(($F39*100)-(Data!Z37-$G39)*$K39))</f>
        <v>100</v>
      </c>
      <c r="AH39" s="64">
        <f>CHOOSE($E39,SUMPRODUCT((AH40:AH$65)*($M40:$M$65)*($C40:W$65=$B39)),IF(NOT(ISNUMBER(Data!AA37)),0,ABS(($F39*100)-(Data!AA37-$I39)*$K39)),ABS(($F39*100)-(Data!AA37-$G39)*$K39))</f>
        <v>100</v>
      </c>
      <c r="AI39" s="64">
        <f>CHOOSE($E39,SUMPRODUCT((AI40:AI$65)*($M40:$M$65)*($C40:X$65=$B39)),IF(NOT(ISNUMBER(Data!AB37)),0,ABS(($F39*100)-(Data!AB37-$I39)*$K39)),ABS(($F39*100)-(Data!AB37-$G39)*$K39))</f>
        <v>100</v>
      </c>
      <c r="AJ39" s="64">
        <f>CHOOSE($E39,SUMPRODUCT((AJ40:AJ$65)*($M40:$M$65)*($C40:Y$65=$B39)),IF(NOT(ISNUMBER(Data!AC37)),0,ABS(($F39*100)-(Data!AC37-$I39)*$K39)),ABS(($F39*100)-(Data!AC37-$G39)*$K39))</f>
        <v>100</v>
      </c>
      <c r="AK39" s="64">
        <f>CHOOSE($E39,SUMPRODUCT((AK40:AK$65)*($M40:$M$65)*($C40:Z$65=$B39)),IF(NOT(ISNUMBER(Data!AD37)),0,ABS(($F39*100)-(Data!AD37-$I39)*$K39)),ABS(($F39*100)-(Data!AD37-$G39)*$K39))</f>
        <v>37.5</v>
      </c>
      <c r="AL39" s="64">
        <f>CHOOSE($E39,SUMPRODUCT((AL40:AL$65)*($M40:$M$65)*($C40:AA$65=$B39)),IF(NOT(ISNUMBER(Data!AE37)),0,ABS(($F39*100)-(Data!AE37-$I39)*$K39)),ABS(($F39*100)-(Data!AE37-$G39)*$K39))</f>
        <v>37.5</v>
      </c>
      <c r="AM39" s="64">
        <f>CHOOSE($E39,SUMPRODUCT((AM40:AM$65)*($M40:$M$65)*($C40:AB$65=$B39)),IF(NOT(ISNUMBER(Data!AF37)),0,ABS(($F39*100)-(Data!AF37-$I39)*$K39)),ABS(($F39*100)-(Data!AF37-$G39)*$K39))</f>
        <v>37.5</v>
      </c>
      <c r="AN39" s="64">
        <f>CHOOSE($E39,SUMPRODUCT((AN40:AN$65)*($M40:$M$65)*($C40:AC$65=$B39)),IF(NOT(ISNUMBER(Data!AG37)),0,ABS(($F39*100)-(Data!AG37-$I39)*$K39)),ABS(($F39*100)-(Data!AG37-$G39)*$K39))</f>
        <v>37.5</v>
      </c>
      <c r="AO39" s="64">
        <f>CHOOSE($E39,SUMPRODUCT((AO40:AO$65)*($M40:$M$65)*($C40:AD$65=$B39)),IF(NOT(ISNUMBER(Data!AH37)),0,ABS(($F39*100)-(Data!AH37-$I39)*$K39)),ABS(($F39*100)-(Data!AH37-$G39)*$K39))</f>
        <v>100</v>
      </c>
      <c r="AP39" s="64">
        <f>CHOOSE($E39,SUMPRODUCT((AP40:AP$65)*($M40:$M$65)*($C40:AE$65=$B39)),IF(NOT(ISNUMBER(Data!AI37)),0,ABS(($F39*100)-(Data!AI37-$I39)*$K39)),ABS(($F39*100)-(Data!AI37-$G39)*$K39))</f>
        <v>100</v>
      </c>
      <c r="AQ39" s="64">
        <f>CHOOSE($E39,SUMPRODUCT((AQ40:AQ$65)*($M40:$M$65)*($C40:AF$65=$B39)),IF(NOT(ISNUMBER(Data!AJ37)),0,ABS(($F39*100)-(Data!AJ37-$I39)*$K39)),ABS(($F39*100)-(Data!AJ37-$G39)*$K39))</f>
        <v>100</v>
      </c>
      <c r="AR39" s="64">
        <f>CHOOSE($E39,SUMPRODUCT((AR40:AR$65)*($M40:$M$65)*($C40:AG$65=$B39)),IF(NOT(ISNUMBER(Data!AK37)),0,ABS(($F39*100)-(Data!AK37-$I39)*$K39)),ABS(($F39*100)-(Data!AK37-$G39)*$K39))</f>
        <v>100</v>
      </c>
      <c r="AS39" s="64">
        <f>CHOOSE($E39,SUMPRODUCT((AS40:AS$65)*($M40:$M$65)*($C40:AH$65=$B39)),IF(NOT(ISNUMBER(Data!AL37)),0,ABS(($F39*100)-(Data!AL37-$I39)*$K39)),ABS(($F39*100)-(Data!AL37-$G39)*$K39))</f>
        <v>100</v>
      </c>
      <c r="AT39" s="64">
        <f>CHOOSE($E39,SUMPRODUCT((AT40:AT$65)*($M40:$M$65)*($C40:AI$65=$B39)),IF(NOT(ISNUMBER(Data!AM37)),0,ABS(($F39*100)-(Data!AM37-$I39)*$K39)),ABS(($F39*100)-(Data!AM37-$G39)*$K39))</f>
        <v>25</v>
      </c>
      <c r="AU39" s="64">
        <f>CHOOSE($E39,SUMPRODUCT((AU40:AU$65)*($M40:$M$65)*($C40:AJ$65=$B39)),IF(NOT(ISNUMBER(Data!AN37)),0,ABS(($F39*100)-(Data!AN37-$I39)*$K39)),ABS(($F39*100)-(Data!AN37-$G39)*$K39))</f>
        <v>25</v>
      </c>
      <c r="AV39" s="64">
        <f>CHOOSE($E39,SUMPRODUCT((AV40:AV$65)*($M40:$M$65)*($C40:AK$65=$B39)),IF(NOT(ISNUMBER(Data!AO37)),0,ABS(($F39*100)-(Data!AO37-$I39)*$K39)),ABS(($F39*100)-(Data!AO37-$G39)*$K39))</f>
        <v>25</v>
      </c>
      <c r="AW39" s="64">
        <f>CHOOSE($E39,SUMPRODUCT((AW40:AW$65)*($M40:$M$65)*($C40:AL$65=$B39)),IF(NOT(ISNUMBER(Data!AP37)),0,ABS(($F39*100)-(Data!AP37-$I39)*$K39)),ABS(($F39*100)-(Data!AP37-$G39)*$K39))</f>
        <v>25</v>
      </c>
      <c r="AX39" s="64">
        <f>CHOOSE($E39,SUMPRODUCT((AX40:AX$65)*($M40:$M$65)*($C40:AM$65=$B39)),IF(NOT(ISNUMBER(Data!AQ37)),0,ABS(($F39*100)-(Data!AQ37-$I39)*$K39)),ABS(($F39*100)-(Data!AQ37-$G39)*$K39))</f>
        <v>25</v>
      </c>
      <c r="AY39" s="64">
        <f>CHOOSE($E39,SUMPRODUCT((AY40:AY$65)*($M40:$M$65)*($C40:AN$65=$B39)),IF(NOT(ISNUMBER(Data!AR37)),0,ABS(($F39*100)-(Data!AR37-$I39)*$K39)),ABS(($F39*100)-(Data!AR37-$G39)*$K39))</f>
        <v>100</v>
      </c>
      <c r="AZ39" s="64">
        <f>CHOOSE($E39,SUMPRODUCT((AZ40:AZ$65)*($M40:$M$65)*($C40:AO$65=$B39)),IF(NOT(ISNUMBER(Data!AS37)),0,ABS(($F39*100)-(Data!AS37-$I39)*$K39)),ABS(($F39*100)-(Data!AS37-$G39)*$K39))</f>
        <v>100</v>
      </c>
      <c r="BA39" s="64">
        <f>CHOOSE($E39,SUMPRODUCT((BA40:BA$65)*($M40:$M$65)*($C40:AP$65=$B39)),IF(NOT(ISNUMBER(Data!AT37)),0,ABS(($F39*100)-(Data!AT37-$I39)*$K39)),ABS(($F39*100)-(Data!AT37-$G39)*$K39))</f>
        <v>25</v>
      </c>
      <c r="BB39" s="64">
        <f>CHOOSE($E39,SUMPRODUCT((BB40:BB$65)*($M40:$M$65)*($C40:AQ$65=$B39)),IF(NOT(ISNUMBER(Data!AU37)),0,ABS(($F39*100)-(Data!AU37-$I39)*$K39)),ABS(($F39*100)-(Data!AU37-$G39)*$K39))</f>
        <v>100</v>
      </c>
      <c r="BC39" s="64">
        <f>CHOOSE($E39,SUMPRODUCT((BC40:BC$65)*($M40:$M$65)*($C40:AR$65=$B39)),IF(NOT(ISNUMBER(Data!AV37)),0,ABS(($F39*100)-(Data!AV37-$I39)*$K39)),ABS(($F39*100)-(Data!AV37-$G39)*$K39))</f>
        <v>100</v>
      </c>
      <c r="BD39" s="64">
        <f>CHOOSE($E39,SUMPRODUCT((BD40:BD$65)*($M40:$M$65)*($C40:AS$65=$B39)),IF(NOT(ISNUMBER(Data!AW37)),0,ABS(($F39*100)-(Data!AW37-$I39)*$K39)),ABS(($F39*100)-(Data!AW37-$G39)*$K39))</f>
        <v>100</v>
      </c>
      <c r="BE39" s="64">
        <f>CHOOSE($E39,SUMPRODUCT((BE40:BE$65)*($M40:$M$65)*($C40:AT$65=$B39)),IF(NOT(ISNUMBER(Data!AX37)),0,ABS(($F39*100)-(Data!AX37-$I39)*$K39)),ABS(($F39*100)-(Data!AX37-$G39)*$K39))</f>
        <v>100</v>
      </c>
      <c r="BF39" s="64">
        <f>CHOOSE($E39,SUMPRODUCT((BF40:BF$65)*($M40:$M$65)*($C40:AU$65=$B39)),IF(NOT(ISNUMBER(Data!AY37)),0,ABS(($F39*100)-(Data!AY37-$I39)*$K39)),ABS(($F39*100)-(Data!AY37-$G39)*$K39))</f>
        <v>100</v>
      </c>
      <c r="BG39" s="64">
        <f>CHOOSE($E39,SUMPRODUCT((BG40:BG$65)*($M40:$M$65)*($C40:AV$65=$B39)),IF(NOT(ISNUMBER(Data!AZ37)),0,ABS(($F39*100)-(Data!AZ37-$I39)*$K39)),ABS(($F39*100)-(Data!AZ37-$G39)*$K39))</f>
        <v>100</v>
      </c>
      <c r="BH39" s="64">
        <f>CHOOSE($E39,SUMPRODUCT((BH40:BH$65)*($M40:$M$65)*($C40:AW$65=$B39)),IF(NOT(ISNUMBER(Data!BA37)),0,ABS(($F39*100)-(Data!BA37-$I39)*$K39)),ABS(($F39*100)-(Data!BA37-$G39)*$K39))</f>
        <v>100</v>
      </c>
      <c r="BI39" s="64">
        <f>CHOOSE($E39,SUMPRODUCT((BI40:BI$65)*($M40:$M$65)*($C40:AX$65=$B39)),IF(NOT(ISNUMBER(Data!BB37)),0,ABS(($F39*100)-(Data!BB37-$I39)*$K39)),ABS(($F39*100)-(Data!BB37-$G39)*$K39))</f>
        <v>100</v>
      </c>
      <c r="BJ39" s="64">
        <f>CHOOSE($E39,SUMPRODUCT((BJ40:BJ$65)*($M40:$M$65)*($C40:AY$65=$B39)),IF(NOT(ISNUMBER(Data!BC37)),0,ABS(($F39*100)-(Data!BC37-$I39)*$K39)),ABS(($F39*100)-(Data!BC37-$G39)*$K39))</f>
        <v>100</v>
      </c>
      <c r="BK39" s="64">
        <f>CHOOSE($E39,SUMPRODUCT((BK40:BK$65)*($M40:$M$65)*($C40:AZ$65=$B39)),IF(NOT(ISNUMBER(Data!BD37)),0,ABS(($F39*100)-(Data!BD37-$I39)*$K39)),ABS(($F39*100)-(Data!BD37-$G39)*$K39))</f>
        <v>25</v>
      </c>
      <c r="BM39" s="65"/>
    </row>
    <row r="40" s="22" customFormat="1" spans="1:65">
      <c r="A40" s="24"/>
      <c r="B40" s="24" t="str">
        <f>tblIndicators!B33</f>
        <v>INFSAF_IP_03</v>
      </c>
      <c r="C40" s="24" t="str">
        <f>tblIndicators!C33</f>
        <v>INFSAF_IP</v>
      </c>
      <c r="D40" s="52">
        <f>tblIndicators!D33</f>
        <v>3</v>
      </c>
      <c r="E40" s="52">
        <f>tblIndicators!M33</f>
        <v>3</v>
      </c>
      <c r="F40" s="52">
        <f>tblIndicators!N33</f>
        <v>1</v>
      </c>
      <c r="G40" s="52">
        <f>tblIndicators!Q33</f>
        <v>1</v>
      </c>
      <c r="H40" s="52">
        <f>tblIndicators!R33</f>
        <v>5</v>
      </c>
      <c r="I40" s="52" t="str">
        <f>IF($E40=2,MIN(Data!G38:BD38),"")</f>
        <v/>
      </c>
      <c r="J40" s="52" t="str">
        <f>IF($E40=2,MAX(Data!G38:BD38),"")</f>
        <v/>
      </c>
      <c r="K40" s="54">
        <f t="shared" si="3"/>
        <v>25</v>
      </c>
      <c r="L40" s="62" t="str">
        <f>tblIndicators!Z33</f>
        <v>3.1.3) Quality of road infrastructure</v>
      </c>
      <c r="M40" s="63">
        <f>tblIndicators!AC33</f>
        <v>0.2</v>
      </c>
      <c r="N40" s="64">
        <f>CHOOSE($E40,SUMPRODUCT((N41:N$65)*($M41:$M$65)*($C41:C$65=$B40)),IF(NOT(ISNUMBER(Data!G38)),0,ABS(($F40*100)-(Data!G38-$I40)*$K40)),ABS(($F40*100)-(Data!G38-$G40)*$K40))</f>
        <v>25</v>
      </c>
      <c r="O40" s="64">
        <f>CHOOSE($E40,SUMPRODUCT((O41:O$65)*($M41:$M$65)*($C41:D$65=$B40)),IF(NOT(ISNUMBER(Data!H38)),0,ABS(($F40*100)-(Data!H38-$I40)*$K40)),ABS(($F40*100)-(Data!H38-$G40)*$K40))</f>
        <v>50</v>
      </c>
      <c r="P40" s="64">
        <f>CHOOSE($E40,SUMPRODUCT((P41:P$65)*($M41:$M$65)*($C41:E$65=$B40)),IF(NOT(ISNUMBER(Data!I38)),0,ABS(($F40*100)-(Data!I38-$I40)*$K40)),ABS(($F40*100)-(Data!I38-$G40)*$K40))</f>
        <v>75</v>
      </c>
      <c r="Q40" s="64">
        <f>CHOOSE($E40,SUMPRODUCT((Q41:Q$65)*($M41:$M$65)*($C41:F$65=$B40)),IF(NOT(ISNUMBER(Data!J38)),0,ABS(($F40*100)-(Data!J38-$I40)*$K40)),ABS(($F40*100)-(Data!J38-$G40)*$K40))</f>
        <v>75</v>
      </c>
      <c r="R40" s="64">
        <f>CHOOSE($E40,SUMPRODUCT((R41:R$65)*($M41:$M$65)*($C41:G$65=$B40)),IF(NOT(ISNUMBER(Data!K38)),0,ABS(($F40*100)-(Data!K38-$I40)*$K40)),ABS(($F40*100)-(Data!K38-$G40)*$K40))</f>
        <v>50</v>
      </c>
      <c r="S40" s="64">
        <f>CHOOSE($E40,SUMPRODUCT((S41:S$65)*($M41:$M$65)*($C41:H$65=$B40)),IF(NOT(ISNUMBER(Data!L38)),0,ABS(($F40*100)-(Data!L38-$I40)*$K40)),ABS(($F40*100)-(Data!L38-$G40)*$K40))</f>
        <v>75</v>
      </c>
      <c r="T40" s="64">
        <f>CHOOSE($E40,SUMPRODUCT((T41:T$65)*($M41:$M$65)*($C41:I$65=$B40)),IF(NOT(ISNUMBER(Data!M38)),0,ABS(($F40*100)-(Data!M38-$I40)*$K40)),ABS(($F40*100)-(Data!M38-$G40)*$K40))</f>
        <v>75</v>
      </c>
      <c r="U40" s="64">
        <f>CHOOSE($E40,SUMPRODUCT((U41:U$65)*($M41:$M$65)*($C41:J$65=$B40)),IF(NOT(ISNUMBER(Data!N38)),0,ABS(($F40*100)-(Data!N38-$I40)*$K40)),ABS(($F40*100)-(Data!N38-$G40)*$K40))</f>
        <v>75</v>
      </c>
      <c r="V40" s="64">
        <f>CHOOSE($E40,SUMPRODUCT((V41:V$65)*($M41:$M$65)*($C41:K$65=$B40)),IF(NOT(ISNUMBER(Data!O38)),0,ABS(($F40*100)-(Data!O38-$I40)*$K40)),ABS(($F40*100)-(Data!O38-$G40)*$K40))</f>
        <v>75</v>
      </c>
      <c r="W40" s="64">
        <f>CHOOSE($E40,SUMPRODUCT((W41:W$65)*($M41:$M$65)*($C41:L$65=$B40)),IF(NOT(ISNUMBER(Data!P38)),0,ABS(($F40*100)-(Data!P38-$I40)*$K40)),ABS(($F40*100)-(Data!P38-$G40)*$K40))</f>
        <v>75</v>
      </c>
      <c r="X40" s="64">
        <f>CHOOSE($E40,SUMPRODUCT((X41:X$65)*($M41:$M$65)*($C41:M$65=$B40)),IF(NOT(ISNUMBER(Data!Q38)),0,ABS(($F40*100)-(Data!Q38-$I40)*$K40)),ABS(($F40*100)-(Data!Q38-$G40)*$K40))</f>
        <v>50</v>
      </c>
      <c r="Y40" s="64">
        <f>CHOOSE($E40,SUMPRODUCT((Y41:Y$65)*($M41:$M$65)*($C41:N$65=$B40)),IF(NOT(ISNUMBER(Data!R38)),0,ABS(($F40*100)-(Data!R38-$I40)*$K40)),ABS(($F40*100)-(Data!R38-$G40)*$K40))</f>
        <v>75</v>
      </c>
      <c r="Z40" s="64">
        <f>CHOOSE($E40,SUMPRODUCT((Z41:Z$65)*($M41:$M$65)*($C41:O$65=$B40)),IF(NOT(ISNUMBER(Data!S38)),0,ABS(($F40*100)-(Data!S38-$I40)*$K40)),ABS(($F40*100)-(Data!S38-$G40)*$K40))</f>
        <v>75</v>
      </c>
      <c r="AA40" s="64">
        <f>CHOOSE($E40,SUMPRODUCT((AA41:AA$65)*($M41:$M$65)*($C41:P$65=$B40)),IF(NOT(ISNUMBER(Data!T38)),0,ABS(($F40*100)-(Data!T38-$I40)*$K40)),ABS(($F40*100)-(Data!T38-$G40)*$K40))</f>
        <v>75</v>
      </c>
      <c r="AB40" s="64">
        <f>CHOOSE($E40,SUMPRODUCT((AB41:AB$65)*($M41:$M$65)*($C41:Q$65=$B40)),IF(NOT(ISNUMBER(Data!U38)),0,ABS(($F40*100)-(Data!U38-$I40)*$K40)),ABS(($F40*100)-(Data!U38-$G40)*$K40))</f>
        <v>75</v>
      </c>
      <c r="AC40" s="64">
        <f>CHOOSE($E40,SUMPRODUCT((AC41:AC$65)*($M41:$M$65)*($C41:R$65=$B40)),IF(NOT(ISNUMBER(Data!V38)),0,ABS(($F40*100)-(Data!V38-$I40)*$K40)),ABS(($F40*100)-(Data!V38-$G40)*$K40))</f>
        <v>100</v>
      </c>
      <c r="AD40" s="64">
        <f>CHOOSE($E40,SUMPRODUCT((AD41:AD$65)*($M41:$M$65)*($C41:S$65=$B40)),IF(NOT(ISNUMBER(Data!W38)),0,ABS(($F40*100)-(Data!W38-$I40)*$K40)),ABS(($F40*100)-(Data!W38-$G40)*$K40))</f>
        <v>100</v>
      </c>
      <c r="AE40" s="64">
        <f>CHOOSE($E40,SUMPRODUCT((AE41:AE$65)*($M41:$M$65)*($C41:T$65=$B40)),IF(NOT(ISNUMBER(Data!X38)),0,ABS(($F40*100)-(Data!X38-$I40)*$K40)),ABS(($F40*100)-(Data!X38-$G40)*$K40))</f>
        <v>100</v>
      </c>
      <c r="AF40" s="64">
        <f>CHOOSE($E40,SUMPRODUCT((AF41:AF$65)*($M41:$M$65)*($C41:U$65=$B40)),IF(NOT(ISNUMBER(Data!Y38)),0,ABS(($F40*100)-(Data!Y38-$I40)*$K40)),ABS(($F40*100)-(Data!Y38-$G40)*$K40))</f>
        <v>75</v>
      </c>
      <c r="AG40" s="64">
        <f>CHOOSE($E40,SUMPRODUCT((AG41:AG$65)*($M41:$M$65)*($C41:V$65=$B40)),IF(NOT(ISNUMBER(Data!Z38)),0,ABS(($F40*100)-(Data!Z38-$I40)*$K40)),ABS(($F40*100)-(Data!Z38-$G40)*$K40))</f>
        <v>75</v>
      </c>
      <c r="AH40" s="64">
        <f>CHOOSE($E40,SUMPRODUCT((AH41:AH$65)*($M41:$M$65)*($C41:W$65=$B40)),IF(NOT(ISNUMBER(Data!AA38)),0,ABS(($F40*100)-(Data!AA38-$I40)*$K40)),ABS(($F40*100)-(Data!AA38-$G40)*$K40))</f>
        <v>75</v>
      </c>
      <c r="AI40" s="64">
        <f>CHOOSE($E40,SUMPRODUCT((AI41:AI$65)*($M41:$M$65)*($C41:X$65=$B40)),IF(NOT(ISNUMBER(Data!AB38)),0,ABS(($F40*100)-(Data!AB38-$I40)*$K40)),ABS(($F40*100)-(Data!AB38-$G40)*$K40))</f>
        <v>75</v>
      </c>
      <c r="AJ40" s="64">
        <f>CHOOSE($E40,SUMPRODUCT((AJ41:AJ$65)*($M41:$M$65)*($C41:Y$65=$B40)),IF(NOT(ISNUMBER(Data!AC38)),0,ABS(($F40*100)-(Data!AC38-$I40)*$K40)),ABS(($F40*100)-(Data!AC38-$G40)*$K40))</f>
        <v>75</v>
      </c>
      <c r="AK40" s="64">
        <f>CHOOSE($E40,SUMPRODUCT((AK41:AK$65)*($M41:$M$65)*($C41:Z$65=$B40)),IF(NOT(ISNUMBER(Data!AD38)),0,ABS(($F40*100)-(Data!AD38-$I40)*$K40)),ABS(($F40*100)-(Data!AD38-$G40)*$K40))</f>
        <v>0</v>
      </c>
      <c r="AL40" s="64">
        <f>CHOOSE($E40,SUMPRODUCT((AL41:AL$65)*($M41:$M$65)*($C41:AA$65=$B40)),IF(NOT(ISNUMBER(Data!AE38)),0,ABS(($F40*100)-(Data!AE38-$I40)*$K40)),ABS(($F40*100)-(Data!AE38-$G40)*$K40))</f>
        <v>50</v>
      </c>
      <c r="AM40" s="64">
        <f>CHOOSE($E40,SUMPRODUCT((AM41:AM$65)*($M41:$M$65)*($C41:AB$65=$B40)),IF(NOT(ISNUMBER(Data!AF38)),0,ABS(($F40*100)-(Data!AF38-$I40)*$K40)),ABS(($F40*100)-(Data!AF38-$G40)*$K40))</f>
        <v>50</v>
      </c>
      <c r="AN40" s="64">
        <f>CHOOSE($E40,SUMPRODUCT((AN41:AN$65)*($M41:$M$65)*($C41:AC$65=$B40)),IF(NOT(ISNUMBER(Data!AG38)),0,ABS(($F40*100)-(Data!AG38-$I40)*$K40)),ABS(($F40*100)-(Data!AG38-$G40)*$K40))</f>
        <v>50</v>
      </c>
      <c r="AO40" s="64">
        <f>CHOOSE($E40,SUMPRODUCT((AO41:AO$65)*($M41:$M$65)*($C41:AD$65=$B40)),IF(NOT(ISNUMBER(Data!AH38)),0,ABS(($F40*100)-(Data!AH38-$I40)*$K40)),ABS(($F40*100)-(Data!AH38-$G40)*$K40))</f>
        <v>100</v>
      </c>
      <c r="AP40" s="64">
        <f>CHOOSE($E40,SUMPRODUCT((AP41:AP$65)*($M41:$M$65)*($C41:AE$65=$B40)),IF(NOT(ISNUMBER(Data!AI38)),0,ABS(($F40*100)-(Data!AI38-$I40)*$K40)),ABS(($F40*100)-(Data!AI38-$G40)*$K40))</f>
        <v>100</v>
      </c>
      <c r="AQ40" s="64">
        <f>CHOOSE($E40,SUMPRODUCT((AQ41:AQ$65)*($M41:$M$65)*($C41:AF$65=$B40)),IF(NOT(ISNUMBER(Data!AJ38)),0,ABS(($F40*100)-(Data!AJ38-$I40)*$K40)),ABS(($F40*100)-(Data!AJ38-$G40)*$K40))</f>
        <v>100</v>
      </c>
      <c r="AR40" s="64">
        <f>CHOOSE($E40,SUMPRODUCT((AR41:AR$65)*($M41:$M$65)*($C41:AG$65=$B40)),IF(NOT(ISNUMBER(Data!AK38)),0,ABS(($F40*100)-(Data!AK38-$I40)*$K40)),ABS(($F40*100)-(Data!AK38-$G40)*$K40))</f>
        <v>75</v>
      </c>
      <c r="AS40" s="64">
        <f>CHOOSE($E40,SUMPRODUCT((AS41:AS$65)*($M41:$M$65)*($C41:AH$65=$B40)),IF(NOT(ISNUMBER(Data!AL38)),0,ABS(($F40*100)-(Data!AL38-$I40)*$K40)),ABS(($F40*100)-(Data!AL38-$G40)*$K40))</f>
        <v>75</v>
      </c>
      <c r="AT40" s="64">
        <f>CHOOSE($E40,SUMPRODUCT((AT41:AT$65)*($M41:$M$65)*($C41:AI$65=$B40)),IF(NOT(ISNUMBER(Data!AM38)),0,ABS(($F40*100)-(Data!AM38-$I40)*$K40)),ABS(($F40*100)-(Data!AM38-$G40)*$K40))</f>
        <v>25</v>
      </c>
      <c r="AU40" s="64">
        <f>CHOOSE($E40,SUMPRODUCT((AU41:AU$65)*($M41:$M$65)*($C41:AJ$65=$B40)),IF(NOT(ISNUMBER(Data!AN38)),0,ABS(($F40*100)-(Data!AN38-$I40)*$K40)),ABS(($F40*100)-(Data!AN38-$G40)*$K40))</f>
        <v>25</v>
      </c>
      <c r="AV40" s="64">
        <f>CHOOSE($E40,SUMPRODUCT((AV41:AV$65)*($M41:$M$65)*($C41:AK$65=$B40)),IF(NOT(ISNUMBER(Data!AO38)),0,ABS(($F40*100)-(Data!AO38-$I40)*$K40)),ABS(($F40*100)-(Data!AO38-$G40)*$K40))</f>
        <v>75</v>
      </c>
      <c r="AW40" s="64">
        <f>CHOOSE($E40,SUMPRODUCT((AW41:AW$65)*($M41:$M$65)*($C41:AL$65=$B40)),IF(NOT(ISNUMBER(Data!AP38)),0,ABS(($F40*100)-(Data!AP38-$I40)*$K40)),ABS(($F40*100)-(Data!AP38-$G40)*$K40))</f>
        <v>75</v>
      </c>
      <c r="AX40" s="64">
        <f>CHOOSE($E40,SUMPRODUCT((AX41:AX$65)*($M41:$M$65)*($C41:AM$65=$B40)),IF(NOT(ISNUMBER(Data!AQ38)),0,ABS(($F40*100)-(Data!AQ38-$I40)*$K40)),ABS(($F40*100)-(Data!AQ38-$G40)*$K40))</f>
        <v>50</v>
      </c>
      <c r="AY40" s="64">
        <f>CHOOSE($E40,SUMPRODUCT((AY41:AY$65)*($M41:$M$65)*($C41:AN$65=$B40)),IF(NOT(ISNUMBER(Data!AR38)),0,ABS(($F40*100)-(Data!AR38-$I40)*$K40)),ABS(($F40*100)-(Data!AR38-$G40)*$K40))</f>
        <v>100</v>
      </c>
      <c r="AZ40" s="64">
        <f>CHOOSE($E40,SUMPRODUCT((AZ41:AZ$65)*($M41:$M$65)*($C41:AO$65=$B40)),IF(NOT(ISNUMBER(Data!AS38)),0,ABS(($F40*100)-(Data!AS38-$I40)*$K40)),ABS(($F40*100)-(Data!AS38-$G40)*$K40))</f>
        <v>75</v>
      </c>
      <c r="BA40" s="64">
        <f>CHOOSE($E40,SUMPRODUCT((BA41:BA$65)*($M41:$M$65)*($C41:AP$65=$B40)),IF(NOT(ISNUMBER(Data!AT38)),0,ABS(($F40*100)-(Data!AT38-$I40)*$K40)),ABS(($F40*100)-(Data!AT38-$G40)*$K40))</f>
        <v>75</v>
      </c>
      <c r="BB40" s="64">
        <f>CHOOSE($E40,SUMPRODUCT((BB41:BB$65)*($M41:$M$65)*($C41:AQ$65=$B40)),IF(NOT(ISNUMBER(Data!AU38)),0,ABS(($F40*100)-(Data!AU38-$I40)*$K40)),ABS(($F40*100)-(Data!AU38-$G40)*$K40))</f>
        <v>100</v>
      </c>
      <c r="BC40" s="64">
        <f>CHOOSE($E40,SUMPRODUCT((BC41:BC$65)*($M41:$M$65)*($C41:AR$65=$B40)),IF(NOT(ISNUMBER(Data!AV38)),0,ABS(($F40*100)-(Data!AV38-$I40)*$K40)),ABS(($F40*100)-(Data!AV38-$G40)*$K40))</f>
        <v>100</v>
      </c>
      <c r="BD40" s="64">
        <f>CHOOSE($E40,SUMPRODUCT((BD41:BD$65)*($M41:$M$65)*($C41:AS$65=$B40)),IF(NOT(ISNUMBER(Data!AW38)),0,ABS(($F40*100)-(Data!AW38-$I40)*$K40)),ABS(($F40*100)-(Data!AW38-$G40)*$K40))</f>
        <v>75</v>
      </c>
      <c r="BE40" s="64">
        <f>CHOOSE($E40,SUMPRODUCT((BE41:BE$65)*($M41:$M$65)*($C41:AT$65=$B40)),IF(NOT(ISNUMBER(Data!AX38)),0,ABS(($F40*100)-(Data!AX38-$I40)*$K40)),ABS(($F40*100)-(Data!AX38-$G40)*$K40))</f>
        <v>100</v>
      </c>
      <c r="BF40" s="64">
        <f>CHOOSE($E40,SUMPRODUCT((BF41:BF$65)*($M41:$M$65)*($C41:AU$65=$B40)),IF(NOT(ISNUMBER(Data!AY38)),0,ABS(($F40*100)-(Data!AY38-$I40)*$K40)),ABS(($F40*100)-(Data!AY38-$G40)*$K40))</f>
        <v>75</v>
      </c>
      <c r="BG40" s="64">
        <f>CHOOSE($E40,SUMPRODUCT((BG41:BG$65)*($M41:$M$65)*($C41:AV$65=$B40)),IF(NOT(ISNUMBER(Data!AZ38)),0,ABS(($F40*100)-(Data!AZ38-$I40)*$K40)),ABS(($F40*100)-(Data!AZ38-$G40)*$K40))</f>
        <v>100</v>
      </c>
      <c r="BH40" s="64">
        <f>CHOOSE($E40,SUMPRODUCT((BH41:BH$65)*($M41:$M$65)*($C41:AW$65=$B40)),IF(NOT(ISNUMBER(Data!BA38)),0,ABS(($F40*100)-(Data!BA38-$I40)*$K40)),ABS(($F40*100)-(Data!BA38-$G40)*$K40))</f>
        <v>100</v>
      </c>
      <c r="BI40" s="64">
        <f>CHOOSE($E40,SUMPRODUCT((BI41:BI$65)*($M41:$M$65)*($C41:AX$65=$B40)),IF(NOT(ISNUMBER(Data!BB38)),0,ABS(($F40*100)-(Data!BB38-$I40)*$K40)),ABS(($F40*100)-(Data!BB38-$G40)*$K40))</f>
        <v>100</v>
      </c>
      <c r="BJ40" s="64">
        <f>CHOOSE($E40,SUMPRODUCT((BJ41:BJ$65)*($M41:$M$65)*($C41:AY$65=$B40)),IF(NOT(ISNUMBER(Data!BC38)),0,ABS(($F40*100)-(Data!BC38-$I40)*$K40)),ABS(($F40*100)-(Data!BC38-$G40)*$K40))</f>
        <v>50</v>
      </c>
      <c r="BK40" s="64">
        <f>CHOOSE($E40,SUMPRODUCT((BK41:BK$65)*($M41:$M$65)*($C41:AZ$65=$B40)),IF(NOT(ISNUMBER(Data!BD38)),0,ABS(($F40*100)-(Data!BD38-$I40)*$K40)),ABS(($F40*100)-(Data!BD38-$G40)*$K40))</f>
        <v>75</v>
      </c>
      <c r="BM40" s="65"/>
    </row>
    <row r="41" s="22" customFormat="1" spans="1:65">
      <c r="A41" s="24"/>
      <c r="B41" s="24" t="str">
        <f>tblIndicators!B34</f>
        <v>INFSAF_IP_04</v>
      </c>
      <c r="C41" s="24" t="str">
        <f>tblIndicators!C34</f>
        <v>INFSAF_IP</v>
      </c>
      <c r="D41" s="52">
        <f>tblIndicators!D34</f>
        <v>3</v>
      </c>
      <c r="E41" s="52">
        <f>tblIndicators!M34</f>
        <v>3</v>
      </c>
      <c r="F41" s="52">
        <f>tblIndicators!N34</f>
        <v>1</v>
      </c>
      <c r="G41" s="52">
        <f>tblIndicators!Q34</f>
        <v>1</v>
      </c>
      <c r="H41" s="52">
        <f>tblIndicators!R34</f>
        <v>5</v>
      </c>
      <c r="I41" s="52" t="str">
        <f>IF($E41=2,MIN(Data!G39:BD39),"")</f>
        <v/>
      </c>
      <c r="J41" s="52" t="str">
        <f>IF($E41=2,MAX(Data!G39:BD39),"")</f>
        <v/>
      </c>
      <c r="K41" s="54">
        <f t="shared" si="3"/>
        <v>25</v>
      </c>
      <c r="L41" s="62" t="str">
        <f>tblIndicators!Z34</f>
        <v>3.1.4) Quality of electricity infrastructure</v>
      </c>
      <c r="M41" s="63">
        <f>tblIndicators!AC34</f>
        <v>0.2</v>
      </c>
      <c r="N41" s="64">
        <f>CHOOSE($E41,SUMPRODUCT((N42:N$65)*($M42:$M$65)*($C42:C$65=$B41)),IF(NOT(ISNUMBER(Data!G39)),0,ABS(($F41*100)-(Data!G39-$I41)*$K41)),ABS(($F41*100)-(Data!G39-$G41)*$K41))</f>
        <v>75</v>
      </c>
      <c r="O41" s="64">
        <f>CHOOSE($E41,SUMPRODUCT((O42:O$65)*($M42:$M$65)*($C42:D$65=$B41)),IF(NOT(ISNUMBER(Data!H39)),0,ABS(($F41*100)-(Data!H39-$I41)*$K41)),ABS(($F41*100)-(Data!H39-$G41)*$K41))</f>
        <v>50</v>
      </c>
      <c r="P41" s="64">
        <f>CHOOSE($E41,SUMPRODUCT((P42:P$65)*($M42:$M$65)*($C42:E$65=$B41)),IF(NOT(ISNUMBER(Data!I39)),0,ABS(($F41*100)-(Data!I39-$I41)*$K41)),ABS(($F41*100)-(Data!I39-$G41)*$K41))</f>
        <v>100</v>
      </c>
      <c r="Q41" s="64">
        <f>CHOOSE($E41,SUMPRODUCT((Q42:Q$65)*($M42:$M$65)*($C42:F$65=$B41)),IF(NOT(ISNUMBER(Data!J39)),0,ABS(($F41*100)-(Data!J39-$I41)*$K41)),ABS(($F41*100)-(Data!J39-$G41)*$K41))</f>
        <v>75</v>
      </c>
      <c r="R41" s="64">
        <f>CHOOSE($E41,SUMPRODUCT((R42:R$65)*($M42:$M$65)*($C42:G$65=$B41)),IF(NOT(ISNUMBER(Data!K39)),0,ABS(($F41*100)-(Data!K39-$I41)*$K41)),ABS(($F41*100)-(Data!K39-$G41)*$K41))</f>
        <v>100</v>
      </c>
      <c r="S41" s="64">
        <f>CHOOSE($E41,SUMPRODUCT((S42:S$65)*($M42:$M$65)*($C42:H$65=$B41)),IF(NOT(ISNUMBER(Data!L39)),0,ABS(($F41*100)-(Data!L39-$I41)*$K41)),ABS(($F41*100)-(Data!L39-$G41)*$K41))</f>
        <v>100</v>
      </c>
      <c r="T41" s="64">
        <f>CHOOSE($E41,SUMPRODUCT((T42:T$65)*($M42:$M$65)*($C42:I$65=$B41)),IF(NOT(ISNUMBER(Data!M39)),0,ABS(($F41*100)-(Data!M39-$I41)*$K41)),ABS(($F41*100)-(Data!M39-$G41)*$K41))</f>
        <v>100</v>
      </c>
      <c r="U41" s="64">
        <f>CHOOSE($E41,SUMPRODUCT((U42:U$65)*($M42:$M$65)*($C42:J$65=$B41)),IF(NOT(ISNUMBER(Data!N39)),0,ABS(($F41*100)-(Data!N39-$I41)*$K41)),ABS(($F41*100)-(Data!N39-$G41)*$K41))</f>
        <v>100</v>
      </c>
      <c r="V41" s="64">
        <f>CHOOSE($E41,SUMPRODUCT((V42:V$65)*($M42:$M$65)*($C42:K$65=$B41)),IF(NOT(ISNUMBER(Data!O39)),0,ABS(($F41*100)-(Data!O39-$I41)*$K41)),ABS(($F41*100)-(Data!O39-$G41)*$K41))</f>
        <v>100</v>
      </c>
      <c r="W41" s="64">
        <f>CHOOSE($E41,SUMPRODUCT((W42:W$65)*($M42:$M$65)*($C42:L$65=$B41)),IF(NOT(ISNUMBER(Data!P39)),0,ABS(($F41*100)-(Data!P39-$I41)*$K41)),ABS(($F41*100)-(Data!P39-$G41)*$K41))</f>
        <v>100</v>
      </c>
      <c r="X41" s="64">
        <f>CHOOSE($E41,SUMPRODUCT((X42:X$65)*($M42:$M$65)*($C42:M$65=$B41)),IF(NOT(ISNUMBER(Data!Q39)),0,ABS(($F41*100)-(Data!Q39-$I41)*$K41)),ABS(($F41*100)-(Data!Q39-$G41)*$K41))</f>
        <v>50</v>
      </c>
      <c r="Y41" s="64">
        <f>CHOOSE($E41,SUMPRODUCT((Y42:Y$65)*($M42:$M$65)*($C42:N$65=$B41)),IF(NOT(ISNUMBER(Data!R39)),0,ABS(($F41*100)-(Data!R39-$I41)*$K41)),ABS(($F41*100)-(Data!R39-$G41)*$K41))</f>
        <v>100</v>
      </c>
      <c r="Z41" s="64">
        <f>CHOOSE($E41,SUMPRODUCT((Z42:Z$65)*($M42:$M$65)*($C42:O$65=$B41)),IF(NOT(ISNUMBER(Data!S39)),0,ABS(($F41*100)-(Data!S39-$I41)*$K41)),ABS(($F41*100)-(Data!S39-$G41)*$K41))</f>
        <v>100</v>
      </c>
      <c r="AA41" s="64">
        <f>CHOOSE($E41,SUMPRODUCT((AA42:AA$65)*($M42:$M$65)*($C42:P$65=$B41)),IF(NOT(ISNUMBER(Data!T39)),0,ABS(($F41*100)-(Data!T39-$I41)*$K41)),ABS(($F41*100)-(Data!T39-$G41)*$K41))</f>
        <v>100</v>
      </c>
      <c r="AB41" s="64">
        <f>CHOOSE($E41,SUMPRODUCT((AB42:AB$65)*($M42:$M$65)*($C42:Q$65=$B41)),IF(NOT(ISNUMBER(Data!U39)),0,ABS(($F41*100)-(Data!U39-$I41)*$K41)),ABS(($F41*100)-(Data!U39-$G41)*$K41))</f>
        <v>100</v>
      </c>
      <c r="AC41" s="64">
        <f>CHOOSE($E41,SUMPRODUCT((AC42:AC$65)*($M42:$M$65)*($C42:R$65=$B41)),IF(NOT(ISNUMBER(Data!V39)),0,ABS(($F41*100)-(Data!V39-$I41)*$K41)),ABS(($F41*100)-(Data!V39-$G41)*$K41))</f>
        <v>100</v>
      </c>
      <c r="AD41" s="64">
        <f>CHOOSE($E41,SUMPRODUCT((AD42:AD$65)*($M42:$M$65)*($C42:S$65=$B41)),IF(NOT(ISNUMBER(Data!W39)),0,ABS(($F41*100)-(Data!W39-$I41)*$K41)),ABS(($F41*100)-(Data!W39-$G41)*$K41))</f>
        <v>100</v>
      </c>
      <c r="AE41" s="64">
        <f>CHOOSE($E41,SUMPRODUCT((AE42:AE$65)*($M42:$M$65)*($C42:T$65=$B41)),IF(NOT(ISNUMBER(Data!X39)),0,ABS(($F41*100)-(Data!X39-$I41)*$K41)),ABS(($F41*100)-(Data!X39-$G41)*$K41))</f>
        <v>100</v>
      </c>
      <c r="AF41" s="64">
        <f>CHOOSE($E41,SUMPRODUCT((AF42:AF$65)*($M42:$M$65)*($C42:U$65=$B41)),IF(NOT(ISNUMBER(Data!Y39)),0,ABS(($F41*100)-(Data!Y39-$I41)*$K41)),ABS(($F41*100)-(Data!Y39-$G41)*$K41))</f>
        <v>100</v>
      </c>
      <c r="AG41" s="64">
        <f>CHOOSE($E41,SUMPRODUCT((AG42:AG$65)*($M42:$M$65)*($C42:V$65=$B41)),IF(NOT(ISNUMBER(Data!Z39)),0,ABS(($F41*100)-(Data!Z39-$I41)*$K41)),ABS(($F41*100)-(Data!Z39-$G41)*$K41))</f>
        <v>100</v>
      </c>
      <c r="AH41" s="64">
        <f>CHOOSE($E41,SUMPRODUCT((AH42:AH$65)*($M42:$M$65)*($C42:W$65=$B41)),IF(NOT(ISNUMBER(Data!AA39)),0,ABS(($F41*100)-(Data!AA39-$I41)*$K41)),ABS(($F41*100)-(Data!AA39-$G41)*$K41))</f>
        <v>100</v>
      </c>
      <c r="AI41" s="64">
        <f>CHOOSE($E41,SUMPRODUCT((AI42:AI$65)*($M42:$M$65)*($C42:X$65=$B41)),IF(NOT(ISNUMBER(Data!AB39)),0,ABS(($F41*100)-(Data!AB39-$I41)*$K41)),ABS(($F41*100)-(Data!AB39-$G41)*$K41))</f>
        <v>75</v>
      </c>
      <c r="AJ41" s="64">
        <f>CHOOSE($E41,SUMPRODUCT((AJ42:AJ$65)*($M42:$M$65)*($C42:Y$65=$B41)),IF(NOT(ISNUMBER(Data!AC39)),0,ABS(($F41*100)-(Data!AC39-$I41)*$K41)),ABS(($F41*100)-(Data!AC39-$G41)*$K41))</f>
        <v>100</v>
      </c>
      <c r="AK41" s="64">
        <f>CHOOSE($E41,SUMPRODUCT((AK42:AK$65)*($M42:$M$65)*($C42:Z$65=$B41)),IF(NOT(ISNUMBER(Data!AD39)),0,ABS(($F41*100)-(Data!AD39-$I41)*$K41)),ABS(($F41*100)-(Data!AD39-$G41)*$K41))</f>
        <v>75</v>
      </c>
      <c r="AL41" s="64">
        <f>CHOOSE($E41,SUMPRODUCT((AL42:AL$65)*($M42:$M$65)*($C42:AA$65=$B41)),IF(NOT(ISNUMBER(Data!AE39)),0,ABS(($F41*100)-(Data!AE39-$I41)*$K41)),ABS(($F41*100)-(Data!AE39-$G41)*$K41))</f>
        <v>50</v>
      </c>
      <c r="AM41" s="64">
        <f>CHOOSE($E41,SUMPRODUCT((AM42:AM$65)*($M42:$M$65)*($C42:AB$65=$B41)),IF(NOT(ISNUMBER(Data!AF39)),0,ABS(($F41*100)-(Data!AF39-$I41)*$K41)),ABS(($F41*100)-(Data!AF39-$G41)*$K41))</f>
        <v>50</v>
      </c>
      <c r="AN41" s="64">
        <f>CHOOSE($E41,SUMPRODUCT((AN42:AN$65)*($M42:$M$65)*($C42:AC$65=$B41)),IF(NOT(ISNUMBER(Data!AG39)),0,ABS(($F41*100)-(Data!AG39-$I41)*$K41)),ABS(($F41*100)-(Data!AG39-$G41)*$K41))</f>
        <v>25</v>
      </c>
      <c r="AO41" s="64">
        <f>CHOOSE($E41,SUMPRODUCT((AO42:AO$65)*($M42:$M$65)*($C42:AD$65=$B41)),IF(NOT(ISNUMBER(Data!AH39)),0,ABS(($F41*100)-(Data!AH39-$I41)*$K41)),ABS(($F41*100)-(Data!AH39-$G41)*$K41))</f>
        <v>100</v>
      </c>
      <c r="AP41" s="64">
        <f>CHOOSE($E41,SUMPRODUCT((AP42:AP$65)*($M42:$M$65)*($C42:AE$65=$B41)),IF(NOT(ISNUMBER(Data!AI39)),0,ABS(($F41*100)-(Data!AI39-$I41)*$K41)),ABS(($F41*100)-(Data!AI39-$G41)*$K41))</f>
        <v>100</v>
      </c>
      <c r="AQ41" s="64">
        <f>CHOOSE($E41,SUMPRODUCT((AQ42:AQ$65)*($M42:$M$65)*($C42:AF$65=$B41)),IF(NOT(ISNUMBER(Data!AJ39)),0,ABS(($F41*100)-(Data!AJ39-$I41)*$K41)),ABS(($F41*100)-(Data!AJ39-$G41)*$K41))</f>
        <v>100</v>
      </c>
      <c r="AR41" s="64">
        <f>CHOOSE($E41,SUMPRODUCT((AR42:AR$65)*($M42:$M$65)*($C42:AG$65=$B41)),IF(NOT(ISNUMBER(Data!AK39)),0,ABS(($F41*100)-(Data!AK39-$I41)*$K41)),ABS(($F41*100)-(Data!AK39-$G41)*$K41))</f>
        <v>100</v>
      </c>
      <c r="AS41" s="64">
        <f>CHOOSE($E41,SUMPRODUCT((AS42:AS$65)*($M42:$M$65)*($C42:AH$65=$B41)),IF(NOT(ISNUMBER(Data!AL39)),0,ABS(($F41*100)-(Data!AL39-$I41)*$K41)),ABS(($F41*100)-(Data!AL39-$G41)*$K41))</f>
        <v>75</v>
      </c>
      <c r="AT41" s="64">
        <f>CHOOSE($E41,SUMPRODUCT((AT42:AT$65)*($M42:$M$65)*($C42:AI$65=$B41)),IF(NOT(ISNUMBER(Data!AM39)),0,ABS(($F41*100)-(Data!AM39-$I41)*$K41)),ABS(($F41*100)-(Data!AM39-$G41)*$K41))</f>
        <v>100</v>
      </c>
      <c r="AU41" s="64">
        <f>CHOOSE($E41,SUMPRODUCT((AU42:AU$65)*($M42:$M$65)*($C42:AJ$65=$B41)),IF(NOT(ISNUMBER(Data!AN39)),0,ABS(($F41*100)-(Data!AN39-$I41)*$K41)),ABS(($F41*100)-(Data!AN39-$G41)*$K41))</f>
        <v>50</v>
      </c>
      <c r="AV41" s="64">
        <f>CHOOSE($E41,SUMPRODUCT((AV42:AV$65)*($M42:$M$65)*($C42:AK$65=$B41)),IF(NOT(ISNUMBER(Data!AO39)),0,ABS(($F41*100)-(Data!AO39-$I41)*$K41)),ABS(($F41*100)-(Data!AO39-$G41)*$K41))</f>
        <v>100</v>
      </c>
      <c r="AW41" s="64">
        <f>CHOOSE($E41,SUMPRODUCT((AW42:AW$65)*($M42:$M$65)*($C42:AL$65=$B41)),IF(NOT(ISNUMBER(Data!AP39)),0,ABS(($F41*100)-(Data!AP39-$I41)*$K41)),ABS(($F41*100)-(Data!AP39-$G41)*$K41))</f>
        <v>75</v>
      </c>
      <c r="AX41" s="64">
        <f>CHOOSE($E41,SUMPRODUCT((AX42:AX$65)*($M42:$M$65)*($C42:AM$65=$B41)),IF(NOT(ISNUMBER(Data!AQ39)),0,ABS(($F41*100)-(Data!AQ39-$I41)*$K41)),ABS(($F41*100)-(Data!AQ39-$G41)*$K41))</f>
        <v>75</v>
      </c>
      <c r="AY41" s="64">
        <f>CHOOSE($E41,SUMPRODUCT((AY42:AY$65)*($M42:$M$65)*($C42:AN$65=$B41)),IF(NOT(ISNUMBER(Data!AR39)),0,ABS(($F41*100)-(Data!AR39-$I41)*$K41)),ABS(($F41*100)-(Data!AR39-$G41)*$K41))</f>
        <v>75</v>
      </c>
      <c r="AZ41" s="64">
        <f>CHOOSE($E41,SUMPRODUCT((AZ42:AZ$65)*($M42:$M$65)*($C42:AO$65=$B41)),IF(NOT(ISNUMBER(Data!AS39)),0,ABS(($F41*100)-(Data!AS39-$I41)*$K41)),ABS(($F41*100)-(Data!AS39-$G41)*$K41))</f>
        <v>100</v>
      </c>
      <c r="BA41" s="64">
        <f>CHOOSE($E41,SUMPRODUCT((BA42:BA$65)*($M42:$M$65)*($C42:AP$65=$B41)),IF(NOT(ISNUMBER(Data!AT39)),0,ABS(($F41*100)-(Data!AT39-$I41)*$K41)),ABS(($F41*100)-(Data!AT39-$G41)*$K41))</f>
        <v>100</v>
      </c>
      <c r="BB41" s="64">
        <f>CHOOSE($E41,SUMPRODUCT((BB42:BB$65)*($M42:$M$65)*($C42:AQ$65=$B41)),IF(NOT(ISNUMBER(Data!AU39)),0,ABS(($F41*100)-(Data!AU39-$I41)*$K41)),ABS(($F41*100)-(Data!AU39-$G41)*$K41))</f>
        <v>100</v>
      </c>
      <c r="BC41" s="64">
        <f>CHOOSE($E41,SUMPRODUCT((BC42:BC$65)*($M42:$M$65)*($C42:AR$65=$B41)),IF(NOT(ISNUMBER(Data!AV39)),0,ABS(($F41*100)-(Data!AV39-$I41)*$K41)),ABS(($F41*100)-(Data!AV39-$G41)*$K41))</f>
        <v>100</v>
      </c>
      <c r="BD41" s="64">
        <f>CHOOSE($E41,SUMPRODUCT((BD42:BD$65)*($M42:$M$65)*($C42:AS$65=$B41)),IF(NOT(ISNUMBER(Data!AW39)),0,ABS(($F41*100)-(Data!AW39-$I41)*$K41)),ABS(($F41*100)-(Data!AW39-$G41)*$K41))</f>
        <v>100</v>
      </c>
      <c r="BE41" s="64">
        <f>CHOOSE($E41,SUMPRODUCT((BE42:BE$65)*($M42:$M$65)*($C42:AT$65=$B41)),IF(NOT(ISNUMBER(Data!AX39)),0,ABS(($F41*100)-(Data!AX39-$I41)*$K41)),ABS(($F41*100)-(Data!AX39-$G41)*$K41))</f>
        <v>100</v>
      </c>
      <c r="BF41" s="64">
        <f>CHOOSE($E41,SUMPRODUCT((BF42:BF$65)*($M42:$M$65)*($C42:AU$65=$B41)),IF(NOT(ISNUMBER(Data!AY39)),0,ABS(($F41*100)-(Data!AY39-$I41)*$K41)),ABS(($F41*100)-(Data!AY39-$G41)*$K41))</f>
        <v>100</v>
      </c>
      <c r="BG41" s="64">
        <f>CHOOSE($E41,SUMPRODUCT((BG42:BG$65)*($M42:$M$65)*($C42:AV$65=$B41)),IF(NOT(ISNUMBER(Data!AZ39)),0,ABS(($F41*100)-(Data!AZ39-$I41)*$K41)),ABS(($F41*100)-(Data!AZ39-$G41)*$K41))</f>
        <v>100</v>
      </c>
      <c r="BH41" s="64">
        <f>CHOOSE($E41,SUMPRODUCT((BH42:BH$65)*($M42:$M$65)*($C42:AW$65=$B41)),IF(NOT(ISNUMBER(Data!BA39)),0,ABS(($F41*100)-(Data!BA39-$I41)*$K41)),ABS(($F41*100)-(Data!BA39-$G41)*$K41))</f>
        <v>100</v>
      </c>
      <c r="BI41" s="64">
        <f>CHOOSE($E41,SUMPRODUCT((BI42:BI$65)*($M42:$M$65)*($C42:AX$65=$B41)),IF(NOT(ISNUMBER(Data!BB39)),0,ABS(($F41*100)-(Data!BB39-$I41)*$K41)),ABS(($F41*100)-(Data!BB39-$G41)*$K41))</f>
        <v>100</v>
      </c>
      <c r="BJ41" s="64">
        <f>CHOOSE($E41,SUMPRODUCT((BJ42:BJ$65)*($M42:$M$65)*($C42:AY$65=$B41)),IF(NOT(ISNUMBER(Data!BC39)),0,ABS(($F41*100)-(Data!BC39-$I41)*$K41)),ABS(($F41*100)-(Data!BC39-$G41)*$K41))</f>
        <v>75</v>
      </c>
      <c r="BK41" s="64">
        <f>CHOOSE($E41,SUMPRODUCT((BK42:BK$65)*($M42:$M$65)*($C42:AZ$65=$B41)),IF(NOT(ISNUMBER(Data!BD39)),0,ABS(($F41*100)-(Data!BD39-$I41)*$K41)),ABS(($F41*100)-(Data!BD39-$G41)*$K41))</f>
        <v>100</v>
      </c>
      <c r="BM41" s="65"/>
    </row>
    <row r="42" s="22" customFormat="1" spans="1:65">
      <c r="A42" s="24"/>
      <c r="B42" s="24" t="str">
        <f>tblIndicators!B35</f>
        <v>INFSAF_IP_05</v>
      </c>
      <c r="C42" s="24" t="str">
        <f>tblIndicators!C35</f>
        <v>INFSAF_IP</v>
      </c>
      <c r="D42" s="52">
        <f>tblIndicators!D35</f>
        <v>3</v>
      </c>
      <c r="E42" s="52">
        <f>tblIndicators!M35</f>
        <v>3</v>
      </c>
      <c r="F42" s="52">
        <f>tblIndicators!N35</f>
        <v>1</v>
      </c>
      <c r="G42" s="52">
        <f>tblIndicators!Q35</f>
        <v>1</v>
      </c>
      <c r="H42" s="52">
        <f>tblIndicators!R35</f>
        <v>5</v>
      </c>
      <c r="I42" s="52" t="str">
        <f>IF($E42=2,MIN(Data!G40:BD40),"")</f>
        <v/>
      </c>
      <c r="J42" s="52" t="str">
        <f>IF($E42=2,MAX(Data!G40:BD40),"")</f>
        <v/>
      </c>
      <c r="K42" s="54">
        <f t="shared" si="3"/>
        <v>25</v>
      </c>
      <c r="L42" s="62" t="str">
        <f>tblIndicators!Z35</f>
        <v>3.1.5) Disaster Management/Business Continuity Plan</v>
      </c>
      <c r="M42" s="63">
        <f>tblIndicators!AC35</f>
        <v>0.2</v>
      </c>
      <c r="N42" s="64">
        <f>CHOOSE($E42,SUMPRODUCT((N43:N$65)*($M43:$M$65)*($C43:C$65=$B42)),IF(NOT(ISNUMBER(Data!G40)),0,ABS(($F42*100)-(Data!G40-$I42)*$K42)),ABS(($F42*100)-(Data!G40-$G42)*$K42))</f>
        <v>100</v>
      </c>
      <c r="O42" s="64">
        <f>CHOOSE($E42,SUMPRODUCT((O43:O$65)*($M43:$M$65)*($C43:D$65=$B42)),IF(NOT(ISNUMBER(Data!H40)),0,ABS(($F42*100)-(Data!H40-$I42)*$K42)),ABS(($F42*100)-(Data!H40-$G42)*$K42))</f>
        <v>50</v>
      </c>
      <c r="P42" s="64">
        <f>CHOOSE($E42,SUMPRODUCT((P43:P$65)*($M43:$M$65)*($C43:E$65=$B42)),IF(NOT(ISNUMBER(Data!I40)),0,ABS(($F42*100)-(Data!I40-$I42)*$K42)),ABS(($F42*100)-(Data!I40-$G42)*$K42))</f>
        <v>100</v>
      </c>
      <c r="Q42" s="64">
        <f>CHOOSE($E42,SUMPRODUCT((Q43:Q$65)*($M43:$M$65)*($C43:F$65=$B42)),IF(NOT(ISNUMBER(Data!J40)),0,ABS(($F42*100)-(Data!J40-$I42)*$K42)),ABS(($F42*100)-(Data!J40-$G42)*$K42))</f>
        <v>75</v>
      </c>
      <c r="R42" s="64">
        <f>CHOOSE($E42,SUMPRODUCT((R43:R$65)*($M43:$M$65)*($C43:G$65=$B42)),IF(NOT(ISNUMBER(Data!K40)),0,ABS(($F42*100)-(Data!K40-$I42)*$K42)),ABS(($F42*100)-(Data!K40-$G42)*$K42))</f>
        <v>50</v>
      </c>
      <c r="S42" s="64">
        <f>CHOOSE($E42,SUMPRODUCT((S43:S$65)*($M43:$M$65)*($C43:H$65=$B42)),IF(NOT(ISNUMBER(Data!L40)),0,ABS(($F42*100)-(Data!L40-$I42)*$K42)),ABS(($F42*100)-(Data!L40-$G42)*$K42))</f>
        <v>75</v>
      </c>
      <c r="T42" s="64">
        <f>CHOOSE($E42,SUMPRODUCT((T43:T$65)*($M43:$M$65)*($C43:I$65=$B42)),IF(NOT(ISNUMBER(Data!M40)),0,ABS(($F42*100)-(Data!M40-$I42)*$K42)),ABS(($F42*100)-(Data!M40-$G42)*$K42))</f>
        <v>100</v>
      </c>
      <c r="U42" s="64">
        <f>CHOOSE($E42,SUMPRODUCT((U43:U$65)*($M43:$M$65)*($C43:J$65=$B42)),IF(NOT(ISNUMBER(Data!N40)),0,ABS(($F42*100)-(Data!N40-$I42)*$K42)),ABS(($F42*100)-(Data!N40-$G42)*$K42))</f>
        <v>100</v>
      </c>
      <c r="V42" s="64">
        <f>CHOOSE($E42,SUMPRODUCT((V43:V$65)*($M43:$M$65)*($C43:K$65=$B42)),IF(NOT(ISNUMBER(Data!O40)),0,ABS(($F42*100)-(Data!O40-$I42)*$K42)),ABS(($F42*100)-(Data!O40-$G42)*$K42))</f>
        <v>100</v>
      </c>
      <c r="W42" s="64">
        <f>CHOOSE($E42,SUMPRODUCT((W43:W$65)*($M43:$M$65)*($C43:L$65=$B42)),IF(NOT(ISNUMBER(Data!P40)),0,ABS(($F42*100)-(Data!P40-$I42)*$K42)),ABS(($F42*100)-(Data!P40-$G42)*$K42))</f>
        <v>100</v>
      </c>
      <c r="X42" s="64">
        <f>CHOOSE($E42,SUMPRODUCT((X43:X$65)*($M43:$M$65)*($C43:M$65=$B42)),IF(NOT(ISNUMBER(Data!Q40)),0,ABS(($F42*100)-(Data!Q40-$I42)*$K42)),ABS(($F42*100)-(Data!Q40-$G42)*$K42))</f>
        <v>75</v>
      </c>
      <c r="Y42" s="64">
        <f>CHOOSE($E42,SUMPRODUCT((Y43:Y$65)*($M43:$M$65)*($C43:N$65=$B42)),IF(NOT(ISNUMBER(Data!R40)),0,ABS(($F42*100)-(Data!R40-$I42)*$K42)),ABS(($F42*100)-(Data!R40-$G42)*$K42))</f>
        <v>100</v>
      </c>
      <c r="Z42" s="64">
        <f>CHOOSE($E42,SUMPRODUCT((Z43:Z$65)*($M43:$M$65)*($C43:O$65=$B42)),IF(NOT(ISNUMBER(Data!S40)),0,ABS(($F42*100)-(Data!S40-$I42)*$K42)),ABS(($F42*100)-(Data!S40-$G42)*$K42))</f>
        <v>100</v>
      </c>
      <c r="AA42" s="64">
        <f>CHOOSE($E42,SUMPRODUCT((AA43:AA$65)*($M43:$M$65)*($C43:P$65=$B42)),IF(NOT(ISNUMBER(Data!T40)),0,ABS(($F42*100)-(Data!T40-$I42)*$K42)),ABS(($F42*100)-(Data!T40-$G42)*$K42))</f>
        <v>100</v>
      </c>
      <c r="AB42" s="64">
        <f>CHOOSE($E42,SUMPRODUCT((AB43:AB$65)*($M43:$M$65)*($C43:Q$65=$B42)),IF(NOT(ISNUMBER(Data!U40)),0,ABS(($F42*100)-(Data!U40-$I42)*$K42)),ABS(($F42*100)-(Data!U40-$G42)*$K42))</f>
        <v>100</v>
      </c>
      <c r="AC42" s="64">
        <f>CHOOSE($E42,SUMPRODUCT((AC43:AC$65)*($M43:$M$65)*($C43:R$65=$B42)),IF(NOT(ISNUMBER(Data!V40)),0,ABS(($F42*100)-(Data!V40-$I42)*$K42)),ABS(($F42*100)-(Data!V40-$G42)*$K42))</f>
        <v>100</v>
      </c>
      <c r="AD42" s="64">
        <f>CHOOSE($E42,SUMPRODUCT((AD43:AD$65)*($M43:$M$65)*($C43:S$65=$B42)),IF(NOT(ISNUMBER(Data!W40)),0,ABS(($F42*100)-(Data!W40-$I42)*$K42)),ABS(($F42*100)-(Data!W40-$G42)*$K42))</f>
        <v>100</v>
      </c>
      <c r="AE42" s="64">
        <f>CHOOSE($E42,SUMPRODUCT((AE43:AE$65)*($M43:$M$65)*($C43:T$65=$B42)),IF(NOT(ISNUMBER(Data!X40)),0,ABS(($F42*100)-(Data!X40-$I42)*$K42)),ABS(($F42*100)-(Data!X40-$G42)*$K42))</f>
        <v>100</v>
      </c>
      <c r="AF42" s="64">
        <f>CHOOSE($E42,SUMPRODUCT((AF43:AF$65)*($M43:$M$65)*($C43:U$65=$B42)),IF(NOT(ISNUMBER(Data!Y40)),0,ABS(($F42*100)-(Data!Y40-$I42)*$K42)),ABS(($F42*100)-(Data!Y40-$G42)*$K42))</f>
        <v>50</v>
      </c>
      <c r="AG42" s="64">
        <f>CHOOSE($E42,SUMPRODUCT((AG43:AG$65)*($M43:$M$65)*($C43:V$65=$B42)),IF(NOT(ISNUMBER(Data!Z40)),0,ABS(($F42*100)-(Data!Z40-$I42)*$K42)),ABS(($F42*100)-(Data!Z40-$G42)*$K42))</f>
        <v>50</v>
      </c>
      <c r="AH42" s="64">
        <f>CHOOSE($E42,SUMPRODUCT((AH43:AH$65)*($M43:$M$65)*($C43:W$65=$B42)),IF(NOT(ISNUMBER(Data!AA40)),0,ABS(($F42*100)-(Data!AA40-$I42)*$K42)),ABS(($F42*100)-(Data!AA40-$G42)*$K42))</f>
        <v>50</v>
      </c>
      <c r="AI42" s="64">
        <f>CHOOSE($E42,SUMPRODUCT((AI43:AI$65)*($M43:$M$65)*($C43:X$65=$B42)),IF(NOT(ISNUMBER(Data!AB40)),0,ABS(($F42*100)-(Data!AB40-$I42)*$K42)),ABS(($F42*100)-(Data!AB40-$G42)*$K42))</f>
        <v>75</v>
      </c>
      <c r="AJ42" s="64">
        <f>CHOOSE($E42,SUMPRODUCT((AJ43:AJ$65)*($M43:$M$65)*($C43:Y$65=$B42)),IF(NOT(ISNUMBER(Data!AC40)),0,ABS(($F42*100)-(Data!AC40-$I42)*$K42)),ABS(($F42*100)-(Data!AC40-$G42)*$K42))</f>
        <v>50</v>
      </c>
      <c r="AK42" s="64">
        <f>CHOOSE($E42,SUMPRODUCT((AK43:AK$65)*($M43:$M$65)*($C43:Z$65=$B42)),IF(NOT(ISNUMBER(Data!AD40)),0,ABS(($F42*100)-(Data!AD40-$I42)*$K42)),ABS(($F42*100)-(Data!AD40-$G42)*$K42))</f>
        <v>25</v>
      </c>
      <c r="AL42" s="64">
        <f>CHOOSE($E42,SUMPRODUCT((AL43:AL$65)*($M43:$M$65)*($C43:AA$65=$B42)),IF(NOT(ISNUMBER(Data!AE40)),0,ABS(($F42*100)-(Data!AE40-$I42)*$K42)),ABS(($F42*100)-(Data!AE40-$G42)*$K42))</f>
        <v>25</v>
      </c>
      <c r="AM42" s="64">
        <f>CHOOSE($E42,SUMPRODUCT((AM43:AM$65)*($M43:$M$65)*($C43:AB$65=$B42)),IF(NOT(ISNUMBER(Data!AF40)),0,ABS(($F42*100)-(Data!AF40-$I42)*$K42)),ABS(($F42*100)-(Data!AF40-$G42)*$K42))</f>
        <v>50</v>
      </c>
      <c r="AN42" s="64">
        <f>CHOOSE($E42,SUMPRODUCT((AN43:AN$65)*($M43:$M$65)*($C43:AC$65=$B42)),IF(NOT(ISNUMBER(Data!AG40)),0,ABS(($F42*100)-(Data!AG40-$I42)*$K42)),ABS(($F42*100)-(Data!AG40-$G42)*$K42))</f>
        <v>50</v>
      </c>
      <c r="AO42" s="64">
        <f>CHOOSE($E42,SUMPRODUCT((AO43:AO$65)*($M43:$M$65)*($C43:AD$65=$B42)),IF(NOT(ISNUMBER(Data!AH40)),0,ABS(($F42*100)-(Data!AH40-$I42)*$K42)),ABS(($F42*100)-(Data!AH40-$G42)*$K42))</f>
        <v>100</v>
      </c>
      <c r="AP42" s="64">
        <f>CHOOSE($E42,SUMPRODUCT((AP43:AP$65)*($M43:$M$65)*($C43:AE$65=$B42)),IF(NOT(ISNUMBER(Data!AI40)),0,ABS(($F42*100)-(Data!AI40-$I42)*$K42)),ABS(($F42*100)-(Data!AI40-$G42)*$K42))</f>
        <v>100</v>
      </c>
      <c r="AQ42" s="64">
        <f>CHOOSE($E42,SUMPRODUCT((AQ43:AQ$65)*($M43:$M$65)*($C43:AF$65=$B42)),IF(NOT(ISNUMBER(Data!AJ40)),0,ABS(($F42*100)-(Data!AJ40-$I42)*$K42)),ABS(($F42*100)-(Data!AJ40-$G42)*$K42))</f>
        <v>100</v>
      </c>
      <c r="AR42" s="64">
        <f>CHOOSE($E42,SUMPRODUCT((AR43:AR$65)*($M43:$M$65)*($C43:AG$65=$B42)),IF(NOT(ISNUMBER(Data!AK40)),0,ABS(($F42*100)-(Data!AK40-$I42)*$K42)),ABS(($F42*100)-(Data!AK40-$G42)*$K42))</f>
        <v>75</v>
      </c>
      <c r="AS42" s="64">
        <f>CHOOSE($E42,SUMPRODUCT((AS43:AS$65)*($M43:$M$65)*($C43:AH$65=$B42)),IF(NOT(ISNUMBER(Data!AL40)),0,ABS(($F42*100)-(Data!AL40-$I42)*$K42)),ABS(($F42*100)-(Data!AL40-$G42)*$K42))</f>
        <v>75</v>
      </c>
      <c r="AT42" s="64">
        <f>CHOOSE($E42,SUMPRODUCT((AT43:AT$65)*($M43:$M$65)*($C43:AI$65=$B42)),IF(NOT(ISNUMBER(Data!AM40)),0,ABS(($F42*100)-(Data!AM40-$I42)*$K42)),ABS(($F42*100)-(Data!AM40-$G42)*$K42))</f>
        <v>75</v>
      </c>
      <c r="AU42" s="64">
        <f>CHOOSE($E42,SUMPRODUCT((AU43:AU$65)*($M43:$M$65)*($C43:AJ$65=$B42)),IF(NOT(ISNUMBER(Data!AN40)),0,ABS(($F42*100)-(Data!AN40-$I42)*$K42)),ABS(($F42*100)-(Data!AN40-$G42)*$K42))</f>
        <v>50</v>
      </c>
      <c r="AV42" s="64">
        <f>CHOOSE($E42,SUMPRODUCT((AV43:AV$65)*($M43:$M$65)*($C43:AK$65=$B42)),IF(NOT(ISNUMBER(Data!AO40)),0,ABS(($F42*100)-(Data!AO40-$I42)*$K42)),ABS(($F42*100)-(Data!AO40-$G42)*$K42))</f>
        <v>75</v>
      </c>
      <c r="AW42" s="64">
        <f>CHOOSE($E42,SUMPRODUCT((AW43:AW$65)*($M43:$M$65)*($C43:AL$65=$B42)),IF(NOT(ISNUMBER(Data!AP40)),0,ABS(($F42*100)-(Data!AP40-$I42)*$K42)),ABS(($F42*100)-(Data!AP40-$G42)*$K42))</f>
        <v>100</v>
      </c>
      <c r="AX42" s="64">
        <f>CHOOSE($E42,SUMPRODUCT((AX43:AX$65)*($M43:$M$65)*($C43:AM$65=$B42)),IF(NOT(ISNUMBER(Data!AQ40)),0,ABS(($F42*100)-(Data!AQ40-$I42)*$K42)),ABS(($F42*100)-(Data!AQ40-$G42)*$K42))</f>
        <v>50</v>
      </c>
      <c r="AY42" s="64">
        <f>CHOOSE($E42,SUMPRODUCT((AY43:AY$65)*($M43:$M$65)*($C43:AN$65=$B42)),IF(NOT(ISNUMBER(Data!AR40)),0,ABS(($F42*100)-(Data!AR40-$I42)*$K42)),ABS(($F42*100)-(Data!AR40-$G42)*$K42))</f>
        <v>75</v>
      </c>
      <c r="AZ42" s="64">
        <f>CHOOSE($E42,SUMPRODUCT((AZ43:AZ$65)*($M43:$M$65)*($C43:AO$65=$B42)),IF(NOT(ISNUMBER(Data!AS40)),0,ABS(($F42*100)-(Data!AS40-$I42)*$K42)),ABS(($F42*100)-(Data!AS40-$G42)*$K42))</f>
        <v>100</v>
      </c>
      <c r="BA42" s="64">
        <f>CHOOSE($E42,SUMPRODUCT((BA43:BA$65)*($M43:$M$65)*($C43:AP$65=$B42)),IF(NOT(ISNUMBER(Data!AT40)),0,ABS(($F42*100)-(Data!AT40-$I42)*$K42)),ABS(($F42*100)-(Data!AT40-$G42)*$K42))</f>
        <v>100</v>
      </c>
      <c r="BB42" s="64">
        <f>CHOOSE($E42,SUMPRODUCT((BB43:BB$65)*($M43:$M$65)*($C43:AQ$65=$B42)),IF(NOT(ISNUMBER(Data!AU40)),0,ABS(($F42*100)-(Data!AU40-$I42)*$K42)),ABS(($F42*100)-(Data!AU40-$G42)*$K42))</f>
        <v>100</v>
      </c>
      <c r="BC42" s="64">
        <f>CHOOSE($E42,SUMPRODUCT((BC43:BC$65)*($M43:$M$65)*($C43:AR$65=$B42)),IF(NOT(ISNUMBER(Data!AV40)),0,ABS(($F42*100)-(Data!AV40-$I42)*$K42)),ABS(($F42*100)-(Data!AV40-$G42)*$K42))</f>
        <v>100</v>
      </c>
      <c r="BD42" s="64">
        <f>CHOOSE($E42,SUMPRODUCT((BD43:BD$65)*($M43:$M$65)*($C43:AS$65=$B42)),IF(NOT(ISNUMBER(Data!AW40)),0,ABS(($F42*100)-(Data!AW40-$I42)*$K42)),ABS(($F42*100)-(Data!AW40-$G42)*$K42))</f>
        <v>100</v>
      </c>
      <c r="BE42" s="64">
        <f>CHOOSE($E42,SUMPRODUCT((BE43:BE$65)*($M43:$M$65)*($C43:AT$65=$B42)),IF(NOT(ISNUMBER(Data!AX40)),0,ABS(($F42*100)-(Data!AX40-$I42)*$K42)),ABS(($F42*100)-(Data!AX40-$G42)*$K42))</f>
        <v>100</v>
      </c>
      <c r="BF42" s="64">
        <f>CHOOSE($E42,SUMPRODUCT((BF43:BF$65)*($M43:$M$65)*($C43:AU$65=$B42)),IF(NOT(ISNUMBER(Data!AY40)),0,ABS(($F42*100)-(Data!AY40-$I42)*$K42)),ABS(($F42*100)-(Data!AY40-$G42)*$K42))</f>
        <v>50</v>
      </c>
      <c r="BG42" s="64">
        <f>CHOOSE($E42,SUMPRODUCT((BG43:BG$65)*($M43:$M$65)*($C43:AV$65=$B42)),IF(NOT(ISNUMBER(Data!AZ40)),0,ABS(($F42*100)-(Data!AZ40-$I42)*$K42)),ABS(($F42*100)-(Data!AZ40-$G42)*$K42))</f>
        <v>100</v>
      </c>
      <c r="BH42" s="64">
        <f>CHOOSE($E42,SUMPRODUCT((BH43:BH$65)*($M43:$M$65)*($C43:AW$65=$B42)),IF(NOT(ISNUMBER(Data!BA40)),0,ABS(($F42*100)-(Data!BA40-$I42)*$K42)),ABS(($F42*100)-(Data!BA40-$G42)*$K42))</f>
        <v>100</v>
      </c>
      <c r="BI42" s="64">
        <f>CHOOSE($E42,SUMPRODUCT((BI43:BI$65)*($M43:$M$65)*($C43:AX$65=$B42)),IF(NOT(ISNUMBER(Data!BB40)),0,ABS(($F42*100)-(Data!BB40-$I42)*$K42)),ABS(($F42*100)-(Data!BB40-$G42)*$K42))</f>
        <v>100</v>
      </c>
      <c r="BJ42" s="64">
        <f>CHOOSE($E42,SUMPRODUCT((BJ43:BJ$65)*($M43:$M$65)*($C43:AY$65=$B42)),IF(NOT(ISNUMBER(Data!BC40)),0,ABS(($F42*100)-(Data!BC40-$I42)*$K42)),ABS(($F42*100)-(Data!BC40-$G42)*$K42))</f>
        <v>75</v>
      </c>
      <c r="BK42" s="64">
        <f>CHOOSE($E42,SUMPRODUCT((BK43:BK$65)*($M43:$M$65)*($C43:AZ$65=$B42)),IF(NOT(ISNUMBER(Data!BD40)),0,ABS(($F42*100)-(Data!BD40-$I42)*$K42)),ABS(($F42*100)-(Data!BD40-$G42)*$K42))</f>
        <v>100</v>
      </c>
      <c r="BM42" s="65"/>
    </row>
    <row r="43" s="21" customFormat="1" spans="1:65">
      <c r="A43" s="30"/>
      <c r="B43" s="30" t="str">
        <f>tblIndicators!B36</f>
        <v>INFSAF_OP</v>
      </c>
      <c r="C43" s="30" t="str">
        <f>tblIndicators!C36</f>
        <v>INFSAF</v>
      </c>
      <c r="D43" s="53">
        <f>tblIndicators!D36</f>
        <v>2</v>
      </c>
      <c r="E43" s="53">
        <f>tblIndicators!M36</f>
        <v>1</v>
      </c>
      <c r="F43" s="53">
        <f>tblIndicators!N36</f>
        <v>0</v>
      </c>
      <c r="G43" s="53">
        <f>tblIndicators!Q36</f>
        <v>0</v>
      </c>
      <c r="H43" s="53">
        <f>tblIndicators!R36</f>
        <v>0</v>
      </c>
      <c r="I43" s="52" t="str">
        <f>IF($E43=2,MIN(Data!G41:BD41),"")</f>
        <v/>
      </c>
      <c r="J43" s="52" t="str">
        <f>IF($E43=2,MAX(Data!G41:BD41),"")</f>
        <v/>
      </c>
      <c r="K43" s="58" t="str">
        <f t="shared" si="3"/>
        <v/>
      </c>
      <c r="L43" s="59" t="str">
        <f>tblIndicators!Z36</f>
        <v>3.2) Infrastructure Safety (Outputs)</v>
      </c>
      <c r="M43" s="60">
        <f>tblIndicators!AC36</f>
        <v>0.5</v>
      </c>
      <c r="N43" s="61">
        <f>CHOOSE($E43,SUMPRODUCT((N44:N$65)*($M44:$M$65)*($C44:C$65=$B43)),IF(NOT(ISNUMBER(Data!G41)),0,ABS(($F43*100)-(Data!G41-$I43)*$K43)),ABS(($F43*100)-(Data!G41-$G43)*$K43))</f>
        <v>91.3230013330783</v>
      </c>
      <c r="O43" s="61">
        <f>CHOOSE($E43,SUMPRODUCT((O44:O$65)*($M44:$M$65)*($C44:D$65=$B43)),IF(NOT(ISNUMBER(Data!H41)),0,ABS(($F43*100)-(Data!H41-$I43)*$K43)),ABS(($F43*100)-(Data!H41-$G43)*$K43))</f>
        <v>65.3360141632664</v>
      </c>
      <c r="P43" s="61">
        <f>CHOOSE($E43,SUMPRODUCT((P44:P$65)*($M44:$M$65)*($C44:E$65=$B43)),IF(NOT(ISNUMBER(Data!I41)),0,ABS(($F43*100)-(Data!I41-$I43)*$K43)),ABS(($F43*100)-(Data!I41-$G43)*$K43))</f>
        <v>67.0591364478166</v>
      </c>
      <c r="Q43" s="61">
        <f>CHOOSE($E43,SUMPRODUCT((Q44:Q$65)*($M44:$M$65)*($C44:F$65=$B43)),IF(NOT(ISNUMBER(Data!J41)),0,ABS(($F43*100)-(Data!J41-$I43)*$K43)),ABS(($F43*100)-(Data!J41-$G43)*$K43))</f>
        <v>75.3206766126521</v>
      </c>
      <c r="R43" s="61">
        <f>CHOOSE($E43,SUMPRODUCT((R44:R$65)*($M44:$M$65)*($C44:G$65=$B43)),IF(NOT(ISNUMBER(Data!K41)),0,ABS(($F43*100)-(Data!K41-$I43)*$K43)),ABS(($F43*100)-(Data!K41-$G43)*$K43))</f>
        <v>76.2976278110095</v>
      </c>
      <c r="S43" s="61">
        <f>CHOOSE($E43,SUMPRODUCT((S44:S$65)*($M44:$M$65)*($C44:H$65=$B43)),IF(NOT(ISNUMBER(Data!L41)),0,ABS(($F43*100)-(Data!L41-$I43)*$K43)),ABS(($F43*100)-(Data!L41-$G43)*$K43))</f>
        <v>82.4406739386269</v>
      </c>
      <c r="T43" s="61">
        <f>CHOOSE($E43,SUMPRODUCT((T44:T$65)*($M44:$M$65)*($C44:I$65=$B43)),IF(NOT(ISNUMBER(Data!M41)),0,ABS(($F43*100)-(Data!M41-$I43)*$K43)),ABS(($F43*100)-(Data!M41-$G43)*$K43))</f>
        <v>82.3248360724989</v>
      </c>
      <c r="U43" s="61">
        <f>CHOOSE($E43,SUMPRODUCT((U44:U$65)*($M44:$M$65)*($C44:J$65=$B43)),IF(NOT(ISNUMBER(Data!N41)),0,ABS(($F43*100)-(Data!N41-$I43)*$K43)),ABS(($F43*100)-(Data!N41-$G43)*$K43))</f>
        <v>85.1325395334796</v>
      </c>
      <c r="V43" s="61">
        <f>CHOOSE($E43,SUMPRODUCT((V44:V$65)*($M44:$M$65)*($C44:K$65=$B43)),IF(NOT(ISNUMBER(Data!O41)),0,ABS(($F43*100)-(Data!O41-$I43)*$K43)),ABS(($F43*100)-(Data!O41-$G43)*$K43))</f>
        <v>88.9382493033139</v>
      </c>
      <c r="W43" s="61">
        <f>CHOOSE($E43,SUMPRODUCT((W44:W$65)*($M44:$M$65)*($C44:L$65=$B43)),IF(NOT(ISNUMBER(Data!P41)),0,ABS(($F43*100)-(Data!P41-$I43)*$K43)),ABS(($F43*100)-(Data!P41-$G43)*$K43))</f>
        <v>81.381413448273</v>
      </c>
      <c r="X43" s="61">
        <f>CHOOSE($E43,SUMPRODUCT((X44:X$65)*($M44:$M$65)*($C44:M$65=$B43)),IF(NOT(ISNUMBER(Data!Q41)),0,ABS(($F43*100)-(Data!Q41-$I43)*$K43)),ABS(($F43*100)-(Data!Q41-$G43)*$K43))</f>
        <v>40.8570481616791</v>
      </c>
      <c r="Y43" s="61">
        <f>CHOOSE($E43,SUMPRODUCT((Y44:Y$65)*($M44:$M$65)*($C44:N$65=$B43)),IF(NOT(ISNUMBER(Data!R41)),0,ABS(($F43*100)-(Data!R41-$I43)*$K43)),ABS(($F43*100)-(Data!R41-$G43)*$K43))</f>
        <v>67.8734876895394</v>
      </c>
      <c r="Z43" s="61">
        <f>CHOOSE($E43,SUMPRODUCT((Z44:Z$65)*($M44:$M$65)*($C44:O$65=$B43)),IF(NOT(ISNUMBER(Data!S41)),0,ABS(($F43*100)-(Data!S41-$I43)*$K43)),ABS(($F43*100)-(Data!S41-$G43)*$K43))</f>
        <v>86.6628211254269</v>
      </c>
      <c r="AA43" s="61">
        <f>CHOOSE($E43,SUMPRODUCT((AA44:AA$65)*($M44:$M$65)*($C44:P$65=$B43)),IF(NOT(ISNUMBER(Data!T41)),0,ABS(($F43*100)-(Data!T41-$I43)*$K43)),ABS(($F43*100)-(Data!T41-$G43)*$K43))</f>
        <v>79.8648775007165</v>
      </c>
      <c r="AB43" s="61">
        <f>CHOOSE($E43,SUMPRODUCT((AB44:AB$65)*($M44:$M$65)*($C44:Q$65=$B43)),IF(NOT(ISNUMBER(Data!U41)),0,ABS(($F43*100)-(Data!U41-$I43)*$K43)),ABS(($F43*100)-(Data!U41-$G43)*$K43))</f>
        <v>64.006429562119</v>
      </c>
      <c r="AC43" s="61">
        <f>CHOOSE($E43,SUMPRODUCT((AC44:AC$65)*($M44:$M$65)*($C44:R$65=$B43)),IF(NOT(ISNUMBER(Data!V41)),0,ABS(($F43*100)-(Data!V41-$I43)*$K43)),ABS(($F43*100)-(Data!V41-$G43)*$K43))</f>
        <v>87.2967065557432</v>
      </c>
      <c r="AD43" s="61">
        <f>CHOOSE($E43,SUMPRODUCT((AD44:AD$65)*($M44:$M$65)*($C44:S$65=$B43)),IF(NOT(ISNUMBER(Data!W41)),0,ABS(($F43*100)-(Data!W41-$I43)*$K43)),ABS(($F43*100)-(Data!W41-$G43)*$K43))</f>
        <v>89.0614138050819</v>
      </c>
      <c r="AE43" s="61">
        <f>CHOOSE($E43,SUMPRODUCT((AE44:AE$65)*($M44:$M$65)*($C44:T$65=$B43)),IF(NOT(ISNUMBER(Data!X41)),0,ABS(($F43*100)-(Data!X41-$I43)*$K43)),ABS(($F43*100)-(Data!X41-$G43)*$K43))</f>
        <v>62.9230472592632</v>
      </c>
      <c r="AF43" s="61">
        <f>CHOOSE($E43,SUMPRODUCT((AF44:AF$65)*($M44:$M$65)*($C44:U$65=$B43)),IF(NOT(ISNUMBER(Data!Y41)),0,ABS(($F43*100)-(Data!Y41-$I43)*$K43)),ABS(($F43*100)-(Data!Y41-$G43)*$K43))</f>
        <v>79.5701607931319</v>
      </c>
      <c r="AG43" s="61">
        <f>CHOOSE($E43,SUMPRODUCT((AG44:AG$65)*($M44:$M$65)*($C44:V$65=$B43)),IF(NOT(ISNUMBER(Data!Z41)),0,ABS(($F43*100)-(Data!Z41-$I43)*$K43)),ABS(($F43*100)-(Data!Z41-$G43)*$K43))</f>
        <v>79.7568714090361</v>
      </c>
      <c r="AH43" s="61">
        <f>CHOOSE($E43,SUMPRODUCT((AH44:AH$65)*($M44:$M$65)*($C44:W$65=$B43)),IF(NOT(ISNUMBER(Data!AA41)),0,ABS(($F43*100)-(Data!AA41-$I43)*$K43)),ABS(($F43*100)-(Data!AA41-$G43)*$K43))</f>
        <v>79.4944787651996</v>
      </c>
      <c r="AI43" s="61">
        <f>CHOOSE($E43,SUMPRODUCT((AI44:AI$65)*($M44:$M$65)*($C44:X$65=$B43)),IF(NOT(ISNUMBER(Data!AB41)),0,ABS(($F43*100)-(Data!AB41-$I43)*$K43)),ABS(($F43*100)-(Data!AB41-$G43)*$K43))</f>
        <v>79.631913108472</v>
      </c>
      <c r="AJ43" s="61">
        <f>CHOOSE($E43,SUMPRODUCT((AJ44:AJ$65)*($M44:$M$65)*($C44:Y$65=$B43)),IF(NOT(ISNUMBER(Data!AC41)),0,ABS(($F43*100)-(Data!AC41-$I43)*$K43)),ABS(($F43*100)-(Data!AC41-$G43)*$K43))</f>
        <v>79.5581817219078</v>
      </c>
      <c r="AK43" s="61">
        <f>CHOOSE($E43,SUMPRODUCT((AK44:AK$65)*($M44:$M$65)*($C44:Z$65=$B43)),IF(NOT(ISNUMBER(Data!AD41)),0,ABS(($F43*100)-(Data!AD41-$I43)*$K43)),ABS(($F43*100)-(Data!AD41-$G43)*$K43))</f>
        <v>79.279610983299</v>
      </c>
      <c r="AL43" s="61">
        <f>CHOOSE($E43,SUMPRODUCT((AL44:AL$65)*($M44:$M$65)*($C44:AA$65=$B43)),IF(NOT(ISNUMBER(Data!AE41)),0,ABS(($F43*100)-(Data!AE41-$I43)*$K43)),ABS(($F43*100)-(Data!AE41-$G43)*$K43))</f>
        <v>77.9233734275026</v>
      </c>
      <c r="AM43" s="61">
        <f>CHOOSE($E43,SUMPRODUCT((AM44:AM$65)*($M44:$M$65)*($C44:AB$65=$B43)),IF(NOT(ISNUMBER(Data!AF41)),0,ABS(($F43*100)-(Data!AF41-$I43)*$K43)),ABS(($F43*100)-(Data!AF41-$G43)*$K43))</f>
        <v>58.0355426026421</v>
      </c>
      <c r="AN43" s="61">
        <f>CHOOSE($E43,SUMPRODUCT((AN44:AN$65)*($M44:$M$65)*($C44:AC$65=$B43)),IF(NOT(ISNUMBER(Data!AG41)),0,ABS(($F43*100)-(Data!AG41-$I43)*$K43)),ABS(($F43*100)-(Data!AG41-$G43)*$K43))</f>
        <v>84.4561752490943</v>
      </c>
      <c r="AO43" s="61">
        <f>CHOOSE($E43,SUMPRODUCT((AO44:AO$65)*($M44:$M$65)*($C44:AD$65=$B43)),IF(NOT(ISNUMBER(Data!AH41)),0,ABS(($F43*100)-(Data!AH41-$I43)*$K43)),ABS(($F43*100)-(Data!AH41-$G43)*$K43))</f>
        <v>84.077807680309</v>
      </c>
      <c r="AP43" s="61">
        <f>CHOOSE($E43,SUMPRODUCT((AP44:AP$65)*($M44:$M$65)*($C44:AE$65=$B43)),IF(NOT(ISNUMBER(Data!AI41)),0,ABS(($F43*100)-(Data!AI41-$I43)*$K43)),ABS(($F43*100)-(Data!AI41-$G43)*$K43))</f>
        <v>75.9179146820129</v>
      </c>
      <c r="AQ43" s="61">
        <f>CHOOSE($E43,SUMPRODUCT((AQ44:AQ$65)*($M44:$M$65)*($C44:AF$65=$B43)),IF(NOT(ISNUMBER(Data!AJ41)),0,ABS(($F43*100)-(Data!AJ41-$I43)*$K43)),ABS(($F43*100)-(Data!AJ41-$G43)*$K43))</f>
        <v>81.2117011978013</v>
      </c>
      <c r="AR43" s="61">
        <f>CHOOSE($E43,SUMPRODUCT((AR44:AR$65)*($M44:$M$65)*($C44:AG$65=$B43)),IF(NOT(ISNUMBER(Data!AK41)),0,ABS(($F43*100)-(Data!AK41-$I43)*$K43)),ABS(($F43*100)-(Data!AK41-$G43)*$K43))</f>
        <v>86.7854909690005</v>
      </c>
      <c r="AS43" s="61">
        <f>CHOOSE($E43,SUMPRODUCT((AS44:AS$65)*($M44:$M$65)*($C44:AH$65=$B43)),IF(NOT(ISNUMBER(Data!AL41)),0,ABS(($F43*100)-(Data!AL41-$I43)*$K43)),ABS(($F43*100)-(Data!AL41-$G43)*$K43))</f>
        <v>93.4942421196491</v>
      </c>
      <c r="AT43" s="61">
        <f>CHOOSE($E43,SUMPRODUCT((AT44:AT$65)*($M44:$M$65)*($C44:AI$65=$B43)),IF(NOT(ISNUMBER(Data!AM41)),0,ABS(($F43*100)-(Data!AM41-$I43)*$K43)),ABS(($F43*100)-(Data!AM41-$G43)*$K43))</f>
        <v>77.8896872524022</v>
      </c>
      <c r="AU43" s="61">
        <f>CHOOSE($E43,SUMPRODUCT((AU44:AU$65)*($M44:$M$65)*($C44:AJ$65=$B43)),IF(NOT(ISNUMBER(Data!AN41)),0,ABS(($F43*100)-(Data!AN41-$I43)*$K43)),ABS(($F43*100)-(Data!AN41-$G43)*$K43))</f>
        <v>74.8145829150239</v>
      </c>
      <c r="AV43" s="61">
        <f>CHOOSE($E43,SUMPRODUCT((AV44:AV$65)*($M44:$M$65)*($C44:AK$65=$B43)),IF(NOT(ISNUMBER(Data!AO41)),0,ABS(($F43*100)-(Data!AO41-$I43)*$K43)),ABS(($F43*100)-(Data!AO41-$G43)*$K43))</f>
        <v>85.7982914596295</v>
      </c>
      <c r="AW43" s="61">
        <f>CHOOSE($E43,SUMPRODUCT((AW44:AW$65)*($M44:$M$65)*($C44:AL$65=$B43)),IF(NOT(ISNUMBER(Data!AP41)),0,ABS(($F43*100)-(Data!AP41-$I43)*$K43)),ABS(($F43*100)-(Data!AP41-$G43)*$K43))</f>
        <v>83.6747085285954</v>
      </c>
      <c r="AX43" s="61">
        <f>CHOOSE($E43,SUMPRODUCT((AX44:AX$65)*($M44:$M$65)*($C44:AM$65=$B43)),IF(NOT(ISNUMBER(Data!AQ41)),0,ABS(($F43*100)-(Data!AQ41-$I43)*$K43)),ABS(($F43*100)-(Data!AQ41-$G43)*$K43))</f>
        <v>69.5507010159554</v>
      </c>
      <c r="AY43" s="61">
        <f>CHOOSE($E43,SUMPRODUCT((AY44:AY$65)*($M44:$M$65)*($C44:AN$65=$B43)),IF(NOT(ISNUMBER(Data!AR41)),0,ABS(($F43*100)-(Data!AR41-$I43)*$K43)),ABS(($F43*100)-(Data!AR41-$G43)*$K43))</f>
        <v>85.8135906989773</v>
      </c>
      <c r="AZ43" s="61">
        <f>CHOOSE($E43,SUMPRODUCT((AZ44:AZ$65)*($M44:$M$65)*($C44:AO$65=$B43)),IF(NOT(ISNUMBER(Data!AS41)),0,ABS(($F43*100)-(Data!AS41-$I43)*$K43)),ABS(($F43*100)-(Data!AS41-$G43)*$K43))</f>
        <v>81.6859070733978</v>
      </c>
      <c r="BA43" s="61">
        <f>CHOOSE($E43,SUMPRODUCT((BA44:BA$65)*($M44:$M$65)*($C44:AP$65=$B43)),IF(NOT(ISNUMBER(Data!AT41)),0,ABS(($F43*100)-(Data!AT41-$I43)*$K43)),ABS(($F43*100)-(Data!AT41-$G43)*$K43))</f>
        <v>78.9359680117637</v>
      </c>
      <c r="BB43" s="61">
        <f>CHOOSE($E43,SUMPRODUCT((BB44:BB$65)*($M44:$M$65)*($C44:AQ$65=$B43)),IF(NOT(ISNUMBER(Data!AU41)),0,ABS(($F43*100)-(Data!AU41-$I43)*$K43)),ABS(($F43*100)-(Data!AU41-$G43)*$K43))</f>
        <v>70.0886445195683</v>
      </c>
      <c r="BC43" s="61">
        <f>CHOOSE($E43,SUMPRODUCT((BC44:BC$65)*($M44:$M$65)*($C44:AR$65=$B43)),IF(NOT(ISNUMBER(Data!AV41)),0,ABS(($F43*100)-(Data!AV41-$I43)*$K43)),ABS(($F43*100)-(Data!AV41-$G43)*$K43))</f>
        <v>74.0496259412902</v>
      </c>
      <c r="BD43" s="61">
        <f>CHOOSE($E43,SUMPRODUCT((BD44:BD$65)*($M44:$M$65)*($C44:AS$65=$B43)),IF(NOT(ISNUMBER(Data!AW41)),0,ABS(($F43*100)-(Data!AW41-$I43)*$K43)),ABS(($F43*100)-(Data!AW41-$G43)*$K43))</f>
        <v>69.3110001917929</v>
      </c>
      <c r="BE43" s="61">
        <f>CHOOSE($E43,SUMPRODUCT((BE44:BE$65)*($M44:$M$65)*($C44:AT$65=$B43)),IF(NOT(ISNUMBER(Data!AX41)),0,ABS(($F43*100)-(Data!AX41-$I43)*$K43)),ABS(($F43*100)-(Data!AX41-$G43)*$K43))</f>
        <v>88.5414939028176</v>
      </c>
      <c r="BF43" s="61">
        <f>CHOOSE($E43,SUMPRODUCT((BF44:BF$65)*($M44:$M$65)*($C44:AU$65=$B43)),IF(NOT(ISNUMBER(Data!AY41)),0,ABS(($F43*100)-(Data!AY41-$I43)*$K43)),ABS(($F43*100)-(Data!AY41-$G43)*$K43))</f>
        <v>64.3060207722581</v>
      </c>
      <c r="BG43" s="61">
        <f>CHOOSE($E43,SUMPRODUCT((BG44:BG$65)*($M44:$M$65)*($C44:AV$65=$B43)),IF(NOT(ISNUMBER(Data!AZ41)),0,ABS(($F43*100)-(Data!AZ41-$I43)*$K43)),ABS(($F43*100)-(Data!AZ41-$G43)*$K43))</f>
        <v>80.0691561637672</v>
      </c>
      <c r="BH43" s="61">
        <f>CHOOSE($E43,SUMPRODUCT((BH44:BH$65)*($M44:$M$65)*($C44:AW$65=$B43)),IF(NOT(ISNUMBER(Data!BA41)),0,ABS(($F43*100)-(Data!BA41-$I43)*$K43)),ABS(($F43*100)-(Data!BA41-$G43)*$K43))</f>
        <v>76.7940404863111</v>
      </c>
      <c r="BI43" s="61">
        <f>CHOOSE($E43,SUMPRODUCT((BI44:BI$65)*($M44:$M$65)*($C44:AX$65=$B43)),IF(NOT(ISNUMBER(Data!BB41)),0,ABS(($F43*100)-(Data!BB41-$I43)*$K43)),ABS(($F43*100)-(Data!BB41-$G43)*$K43))</f>
        <v>91.2635801806399</v>
      </c>
      <c r="BJ43" s="61">
        <f>CHOOSE($E43,SUMPRODUCT((BJ44:BJ$65)*($M44:$M$65)*($C44:AY$65=$B43)),IF(NOT(ISNUMBER(Data!BC41)),0,ABS(($F43*100)-(Data!BC41-$I43)*$K43)),ABS(($F43*100)-(Data!BC41-$G43)*$K43))</f>
        <v>79.4225343761237</v>
      </c>
      <c r="BK43" s="61">
        <f>CHOOSE($E43,SUMPRODUCT((BK44:BK$65)*($M44:$M$65)*($C44:AZ$65=$B43)),IF(NOT(ISNUMBER(Data!BD41)),0,ABS(($F43*100)-(Data!BD41-$I43)*$K43)),ABS(($F43*100)-(Data!BD41-$G43)*$K43))</f>
        <v>81.8095741935332</v>
      </c>
      <c r="BM43" s="65"/>
    </row>
    <row r="44" s="21" customFormat="1" spans="1:65">
      <c r="A44" s="24"/>
      <c r="B44" s="24" t="str">
        <f>tblIndicators!B37</f>
        <v>INFSAF_OP_01</v>
      </c>
      <c r="C44" s="24" t="str">
        <f>tblIndicators!C37</f>
        <v>INFSAF_OP</v>
      </c>
      <c r="D44" s="52">
        <f>tblIndicators!D37</f>
        <v>3</v>
      </c>
      <c r="E44" s="52">
        <f>tblIndicators!M37</f>
        <v>2</v>
      </c>
      <c r="F44" s="52">
        <f>tblIndicators!N37</f>
        <v>1</v>
      </c>
      <c r="G44" s="52">
        <f>tblIndicators!Q37</f>
        <v>0</v>
      </c>
      <c r="H44" s="52">
        <f>tblIndicators!R37</f>
        <v>0</v>
      </c>
      <c r="I44" s="52">
        <f>IF($E44=2,MIN(Data!G42:BD42),"")</f>
        <v>0</v>
      </c>
      <c r="J44" s="52">
        <f>IF($E44=2,MAX(Data!G42:BD42),"")</f>
        <v>2113.64705882353</v>
      </c>
      <c r="K44" s="54">
        <f t="shared" si="3"/>
        <v>0.0473115885561616</v>
      </c>
      <c r="L44" s="62" t="str">
        <f>tblIndicators!Z37</f>
        <v>3.2.1) Death from natural disasters</v>
      </c>
      <c r="M44" s="63">
        <f>tblIndicators!AC37</f>
        <v>0.25</v>
      </c>
      <c r="N44" s="64">
        <f>CHOOSE($E44,SUMPRODUCT((N45:N$65)*($M45:$M$65)*($C45:C$65=$B44)),IF(NOT(ISNUMBER(Data!G42)),0,ABS(($F44*100)-(Data!G42-$I44)*$K44)),ABS(($F44*100)-(Data!G42-$G44)*$K44))</f>
        <v>99.9337637760214</v>
      </c>
      <c r="O44" s="64">
        <f>CHOOSE($E44,SUMPRODUCT((O45:O$65)*($M45:$M$65)*($C45:D$65=$B44)),IF(NOT(ISNUMBER(Data!H42)),0,ABS(($F44*100)-(Data!H42-$I44)*$K44)),ABS(($F44*100)-(Data!H42-$G44)*$K44))</f>
        <v>99.6559157195915</v>
      </c>
      <c r="P44" s="64">
        <f>CHOOSE($E44,SUMPRODUCT((P45:P$65)*($M45:$M$65)*($C45:E$65=$B44)),IF(NOT(ISNUMBER(Data!I42)),0,ABS(($F44*100)-(Data!I42-$I44)*$K44)),ABS(($F44*100)-(Data!I42-$G44)*$K44))</f>
        <v>99.710025747559</v>
      </c>
      <c r="Q44" s="64">
        <f>CHOOSE($E44,SUMPRODUCT((Q45:Q$65)*($M45:$M$65)*($C45:F$65=$B44)),IF(NOT(ISNUMBER(Data!J42)),0,ABS(($F44*100)-(Data!J42-$I44)*$K44)),ABS(($F44*100)-(Data!J42-$G44)*$K44))</f>
        <v>91.3262087647037</v>
      </c>
      <c r="R44" s="64">
        <f>CHOOSE($E44,SUMPRODUCT((R45:R$65)*($M45:$M$65)*($C45:G$65=$B44)),IF(NOT(ISNUMBER(Data!K42)),0,ABS(($F44*100)-(Data!K42-$I44)*$K44)),ABS(($F44*100)-(Data!K42-$G44)*$K44))</f>
        <v>98.3608583492353</v>
      </c>
      <c r="S44" s="64">
        <f>CHOOSE($E44,SUMPRODUCT((S45:S$65)*($M45:$M$65)*($C45:H$65=$B44)),IF(NOT(ISNUMBER(Data!L42)),0,ABS(($F44*100)-(Data!L42-$I44)*$K44)),ABS(($F44*100)-(Data!L42-$G44)*$K44))</f>
        <v>99.8344094400534</v>
      </c>
      <c r="T44" s="64">
        <f>CHOOSE($E44,SUMPRODUCT((T45:T$65)*($M45:$M$65)*($C45:I$65=$B44)),IF(NOT(ISNUMBER(Data!M42)),0,ABS(($F44*100)-(Data!M42-$I44)*$K44)),ABS(($F44*100)-(Data!M42-$G44)*$K44))</f>
        <v>99.1720472002672</v>
      </c>
      <c r="U44" s="64">
        <f>CHOOSE($E44,SUMPRODUCT((U45:U$65)*($M45:$M$65)*($C45:J$65=$B44)),IF(NOT(ISNUMBER(Data!N42)),0,ABS(($F44*100)-(Data!N42-$I44)*$K44)),ABS(($F44*100)-(Data!N42-$G44)*$K44))</f>
        <v>99.9324120163483</v>
      </c>
      <c r="V44" s="64">
        <f>CHOOSE($E44,SUMPRODUCT((V45:V$65)*($M45:$M$65)*($C45:K$65=$B44)),IF(NOT(ISNUMBER(Data!O42)),0,ABS(($F44*100)-(Data!O42-$I44)*$K44)),ABS(($F44*100)-(Data!O42-$G44)*$K44))</f>
        <v>99.8853052398639</v>
      </c>
      <c r="W44" s="64">
        <f>CHOOSE($E44,SUMPRODUCT((W45:W$65)*($M45:$M$65)*($C45:L$65=$B44)),IF(NOT(ISNUMBER(Data!P42)),0,ABS(($F44*100)-(Data!P42-$I44)*$K44)),ABS(($F44*100)-(Data!P42-$G44)*$K44))</f>
        <v>99.3203860207402</v>
      </c>
      <c r="X44" s="64">
        <f>CHOOSE($E44,SUMPRODUCT((X45:X$65)*($M45:$M$65)*($C45:M$65=$B44)),IF(NOT(ISNUMBER(Data!Q42)),0,ABS(($F44*100)-(Data!Q42-$I44)*$K44)),ABS(($F44*100)-(Data!Q42-$G44)*$K44))</f>
        <v>99.7918290103529</v>
      </c>
      <c r="Y44" s="64">
        <f>CHOOSE($E44,SUMPRODUCT((Y45:Y$65)*($M45:$M$65)*($C45:N$65=$B44)),IF(NOT(ISNUMBER(Data!R42)),0,ABS(($F44*100)-(Data!R42-$I44)*$K44)),ABS(($F44*100)-(Data!R42-$G44)*$K44))</f>
        <v>98.6851779459392</v>
      </c>
      <c r="Z44" s="64">
        <f>CHOOSE($E44,SUMPRODUCT((Z45:Z$65)*($M45:$M$65)*($C45:O$65=$B44)),IF(NOT(ISNUMBER(Data!S42)),0,ABS(($F44*100)-(Data!S42-$I44)*$K44)),ABS(($F44*100)-(Data!S42-$G44)*$K44))</f>
        <v>99.5404017111687</v>
      </c>
      <c r="AA44" s="64">
        <f>CHOOSE($E44,SUMPRODUCT((AA45:AA$65)*($M45:$M$65)*($C45:P$65=$B44)),IF(NOT(ISNUMBER(Data!T42)),0,ABS(($F44*100)-(Data!T42-$I44)*$K44)),ABS(($F44*100)-(Data!T42-$G44)*$K44))</f>
        <v>99.8760886966386</v>
      </c>
      <c r="AB44" s="64">
        <f>CHOOSE($E44,SUMPRODUCT((AB45:AB$65)*($M45:$M$65)*($C45:Q$65=$B44)),IF(NOT(ISNUMBER(Data!U42)),0,ABS(($F44*100)-(Data!U42-$I44)*$K44)),ABS(($F44*100)-(Data!U42-$G44)*$K44))</f>
        <v>99.9725729921414</v>
      </c>
      <c r="AC44" s="64">
        <f>CHOOSE($E44,SUMPRODUCT((AC45:AC$65)*($M45:$M$65)*($C45:R$65=$B44)),IF(NOT(ISNUMBER(Data!V42)),0,ABS(($F44*100)-(Data!V42-$I44)*$K44)),ABS(($F44*100)-(Data!V42-$G44)*$K44))</f>
        <v>98.2466881888011</v>
      </c>
      <c r="AD44" s="64">
        <f>CHOOSE($E44,SUMPRODUCT((AD45:AD$65)*($M45:$M$65)*($C45:S$65=$B44)),IF(NOT(ISNUMBER(Data!W42)),0,ABS(($F44*100)-(Data!W42-$I44)*$K44)),ABS(($F44*100)-(Data!W42-$G44)*$K44))</f>
        <v>98.2466881888011</v>
      </c>
      <c r="AE44" s="64">
        <f>CHOOSE($E44,SUMPRODUCT((AE45:AE$65)*($M45:$M$65)*($C45:T$65=$B44)),IF(NOT(ISNUMBER(Data!X42)),0,ABS(($F44*100)-(Data!X42-$I44)*$K44)),ABS(($F44*100)-(Data!X42-$G44)*$K44))</f>
        <v>100</v>
      </c>
      <c r="AF44" s="64">
        <f>CHOOSE($E44,SUMPRODUCT((AF45:AF$65)*($M45:$M$65)*($C45:U$65=$B44)),IF(NOT(ISNUMBER(Data!Y42)),0,ABS(($F44*100)-(Data!Y42-$I44)*$K44)),ABS(($F44*100)-(Data!Y42-$G44)*$K44))</f>
        <v>99.8261574187936</v>
      </c>
      <c r="AG44" s="64">
        <f>CHOOSE($E44,SUMPRODUCT((AG45:AG$65)*($M45:$M$65)*($C45:V$65=$B44)),IF(NOT(ISNUMBER(Data!Z42)),0,ABS(($F44*100)-(Data!Z42-$I44)*$K44)),ABS(($F44*100)-(Data!Z42-$G44)*$K44))</f>
        <v>99.9921637120404</v>
      </c>
      <c r="AH44" s="64">
        <f>CHOOSE($E44,SUMPRODUCT((AH45:AH$65)*($M45:$M$65)*($C45:W$65=$B44)),IF(NOT(ISNUMBER(Data!AA42)),0,ABS(($F44*100)-(Data!AA42-$I44)*$K44)),ABS(($F44*100)-(Data!AA42-$G44)*$K44))</f>
        <v>99.7685604322747</v>
      </c>
      <c r="AI44" s="64">
        <f>CHOOSE($E44,SUMPRODUCT((AI45:AI$65)*($M45:$M$65)*($C45:X$65=$B44)),IF(NOT(ISNUMBER(Data!AB42)),0,ABS(($F44*100)-(Data!AB42-$I44)*$K44)),ABS(($F44*100)-(Data!AB42-$G44)*$K44))</f>
        <v>99.7524947077545</v>
      </c>
      <c r="AJ44" s="64">
        <f>CHOOSE($E44,SUMPRODUCT((AJ45:AJ$65)*($M45:$M$65)*($C45:Y$65=$B44)),IF(NOT(ISNUMBER(Data!AC42)),0,ABS(($F44*100)-(Data!AC42-$I44)*$K44)),ABS(($F44*100)-(Data!AC42-$G44)*$K44))</f>
        <v>99.6416476034576</v>
      </c>
      <c r="AK44" s="64">
        <f>CHOOSE($E44,SUMPRODUCT((AK45:AK$65)*($M45:$M$65)*($C45:Z$65=$B44)),IF(NOT(ISNUMBER(Data!AD42)),0,ABS(($F44*100)-(Data!AD42-$I44)*$K44)),ABS(($F44*100)-(Data!AD42-$G44)*$K44))</f>
        <v>100</v>
      </c>
      <c r="AL44" s="64">
        <f>CHOOSE($E44,SUMPRODUCT((AL45:AL$65)*($M45:$M$65)*($C45:AA$65=$B44)),IF(NOT(ISNUMBER(Data!AE42)),0,ABS(($F44*100)-(Data!AE42-$I44)*$K44)),ABS(($F44*100)-(Data!AE42-$G44)*$K44))</f>
        <v>97.335411332517</v>
      </c>
      <c r="AM44" s="64">
        <f>CHOOSE($E44,SUMPRODUCT((AM45:AM$65)*($M45:$M$65)*($C45:AB$65=$B44)),IF(NOT(ISNUMBER(Data!AF42)),0,ABS(($F44*100)-(Data!AF42-$I44)*$K44)),ABS(($F44*100)-(Data!AF42-$G44)*$K44))</f>
        <v>0</v>
      </c>
      <c r="AN44" s="64">
        <f>CHOOSE($E44,SUMPRODUCT((AN45:AN$65)*($M45:$M$65)*($C45:AC$65=$B44)),IF(NOT(ISNUMBER(Data!AG42)),0,ABS(($F44*100)-(Data!AG42-$I44)*$K44)),ABS(($F44*100)-(Data!AG42-$G44)*$K44))</f>
        <v>99.4716872611229</v>
      </c>
      <c r="AO44" s="64">
        <f>CHOOSE($E44,SUMPRODUCT((AO45:AO$65)*($M45:$M$65)*($C45:AD$65=$B44)),IF(NOT(ISNUMBER(Data!AH42)),0,ABS(($F44*100)-(Data!AH42-$I44)*$K44)),ABS(($F44*100)-(Data!AH42-$G44)*$K44))</f>
        <v>89.9462874318156</v>
      </c>
      <c r="AP44" s="64">
        <f>CHOOSE($E44,SUMPRODUCT((AP45:AP$65)*($M45:$M$65)*($C45:AE$65=$B44)),IF(NOT(ISNUMBER(Data!AI42)),0,ABS(($F44*100)-(Data!AI42-$I44)*$K44)),ABS(($F44*100)-(Data!AI42-$G44)*$K44))</f>
        <v>62.2975582230036</v>
      </c>
      <c r="AQ44" s="64">
        <f>CHOOSE($E44,SUMPRODUCT((AQ45:AQ$65)*($M45:$M$65)*($C45:AF$65=$B44)),IF(NOT(ISNUMBER(Data!AJ42)),0,ABS(($F44*100)-(Data!AJ42-$I44)*$K44)),ABS(($F44*100)-(Data!AJ42-$G44)*$K44))</f>
        <v>99.675577678472</v>
      </c>
      <c r="AR44" s="64">
        <f>CHOOSE($E44,SUMPRODUCT((AR45:AR$65)*($M45:$M$65)*($C45:AG$65=$B44)),IF(NOT(ISNUMBER(Data!AK42)),0,ABS(($F44*100)-(Data!AK42-$I44)*$K44)),ABS(($F44*100)-(Data!AK42-$G44)*$K44))</f>
        <v>99.8654866599874</v>
      </c>
      <c r="AS44" s="64">
        <f>CHOOSE($E44,SUMPRODUCT((AS45:AS$65)*($M45:$M$65)*($C45:AH$65=$B44)),IF(NOT(ISNUMBER(Data!AL42)),0,ABS(($F44*100)-(Data!AL42-$I44)*$K44)),ABS(($F44*100)-(Data!AL42-$G44)*$K44))</f>
        <v>98.3804879301929</v>
      </c>
      <c r="AT44" s="64">
        <f>CHOOSE($E44,SUMPRODUCT((AT45:AT$65)*($M45:$M$65)*($C45:AI$65=$B44)),IF(NOT(ISNUMBER(Data!AM42)),0,ABS(($F44*100)-(Data!AM42-$I44)*$K44)),ABS(($F44*100)-(Data!AM42-$G44)*$K44))</f>
        <v>96.5766686280434</v>
      </c>
      <c r="AU44" s="64">
        <f>CHOOSE($E44,SUMPRODUCT((AU45:AU$65)*($M45:$M$65)*($C45:AJ$65=$B44)),IF(NOT(ISNUMBER(Data!AN42)),0,ABS(($F44*100)-(Data!AN42-$I44)*$K44)),ABS(($F44*100)-(Data!AN42-$G44)*$K44))</f>
        <v>98.4807723230299</v>
      </c>
      <c r="AV44" s="64">
        <f>CHOOSE($E44,SUMPRODUCT((AV45:AV$65)*($M45:$M$65)*($C45:AK$65=$B44)),IF(NOT(ISNUMBER(Data!AO42)),0,ABS(($F44*100)-(Data!AO42-$I44)*$K44)),ABS(($F44*100)-(Data!AO42-$G44)*$K44))</f>
        <v>100</v>
      </c>
      <c r="AW44" s="64">
        <f>CHOOSE($E44,SUMPRODUCT((AW45:AW$65)*($M45:$M$65)*($C45:AL$65=$B44)),IF(NOT(ISNUMBER(Data!AP42)),0,ABS(($F44*100)-(Data!AP42-$I44)*$K44)),ABS(($F44*100)-(Data!AP42-$G44)*$K44))</f>
        <v>100</v>
      </c>
      <c r="AX44" s="64">
        <f>CHOOSE($E44,SUMPRODUCT((AX45:AX$65)*($M45:$M$65)*($C45:AM$65=$B44)),IF(NOT(ISNUMBER(Data!AQ42)),0,ABS(($F44*100)-(Data!AQ42-$I44)*$K44)),ABS(($F44*100)-(Data!AQ42-$G44)*$K44))</f>
        <v>99.9695854073568</v>
      </c>
      <c r="AY44" s="64">
        <f>CHOOSE($E44,SUMPRODUCT((AY45:AY$65)*($M45:$M$65)*($C45:AN$65=$B44)),IF(NOT(ISNUMBER(Data!AR42)),0,ABS(($F44*100)-(Data!AR42-$I44)*$K44)),ABS(($F44*100)-(Data!AR42-$G44)*$K44))</f>
        <v>100</v>
      </c>
      <c r="AZ44" s="64">
        <f>CHOOSE($E44,SUMPRODUCT((AZ45:AZ$65)*($M45:$M$65)*($C45:AO$65=$B44)),IF(NOT(ISNUMBER(Data!AS42)),0,ABS(($F44*100)-(Data!AS42-$I44)*$K44)),ABS(($F44*100)-(Data!AS42-$G44)*$K44))</f>
        <v>95.8838917956139</v>
      </c>
      <c r="BA44" s="64">
        <f>CHOOSE($E44,SUMPRODUCT((BA45:BA$65)*($M45:$M$65)*($C45:AP$65=$B44)),IF(NOT(ISNUMBER(Data!AT42)),0,ABS(($F44*100)-(Data!AT42-$I44)*$K44)),ABS(($F44*100)-(Data!AT42-$G44)*$K44))</f>
        <v>99.2690359568073</v>
      </c>
      <c r="BB44" s="64">
        <f>CHOOSE($E44,SUMPRODUCT((BB45:BB$65)*($M45:$M$65)*($C45:AQ$65=$B44)),IF(NOT(ISNUMBER(Data!AU42)),0,ABS(($F44*100)-(Data!AU42-$I44)*$K44)),ABS(($F44*100)-(Data!AU42-$G44)*$K44))</f>
        <v>99.211473524064</v>
      </c>
      <c r="BC44" s="64">
        <f>CHOOSE($E44,SUMPRODUCT((BC45:BC$65)*($M45:$M$65)*($C45:AR$65=$B44)),IF(NOT(ISNUMBER(Data!AV42)),0,ABS(($F44*100)-(Data!AV42-$I44)*$K44)),ABS(($F44*100)-(Data!AV42-$G44)*$K44))</f>
        <v>99.0901617585354</v>
      </c>
      <c r="BD44" s="64">
        <f>CHOOSE($E44,SUMPRODUCT((BD45:BD$65)*($M45:$M$65)*($C45:AS$65=$B44)),IF(NOT(ISNUMBER(Data!AW42)),0,ABS(($F44*100)-(Data!AW42-$I44)*$K44)),ABS(($F44*100)-(Data!AW42-$G44)*$K44))</f>
        <v>98.1803235170707</v>
      </c>
      <c r="BE44" s="64">
        <f>CHOOSE($E44,SUMPRODUCT((BE45:BE$65)*($M45:$M$65)*($C45:AT$65=$B44)),IF(NOT(ISNUMBER(Data!AX42)),0,ABS(($F44*100)-(Data!AX42-$I44)*$K44)),ABS(($F44*100)-(Data!AX42-$G44)*$K44))</f>
        <v>94.0269119447846</v>
      </c>
      <c r="BF44" s="64">
        <f>CHOOSE($E44,SUMPRODUCT((BF45:BF$65)*($M45:$M$65)*($C45:AU$65=$B44)),IF(NOT(ISNUMBER(Data!AY42)),0,ABS(($F44*100)-(Data!AY42-$I44)*$K44)),ABS(($F44*100)-(Data!AY42-$G44)*$K44))</f>
        <v>77.7398975843259</v>
      </c>
      <c r="BG44" s="64">
        <f>CHOOSE($E44,SUMPRODUCT((BG45:BG$65)*($M45:$M$65)*($C45:AV$65=$B44)),IF(NOT(ISNUMBER(Data!AZ42)),0,ABS(($F44*100)-(Data!AZ42-$I44)*$K44)),ABS(($F44*100)-(Data!AZ42-$G44)*$K44))</f>
        <v>99.7949831162566</v>
      </c>
      <c r="BH44" s="64">
        <f>CHOOSE($E44,SUMPRODUCT((BH45:BH$65)*($M45:$M$65)*($C45:AW$65=$B44)),IF(NOT(ISNUMBER(Data!BA42)),0,ABS(($F44*100)-(Data!BA42-$I44)*$K44)),ABS(($F44*100)-(Data!BA42-$G44)*$K44))</f>
        <v>99.5899662325133</v>
      </c>
      <c r="BI44" s="64">
        <f>CHOOSE($E44,SUMPRODUCT((BI45:BI$65)*($M45:$M$65)*($C45:AX$65=$B44)),IF(NOT(ISNUMBER(Data!BB42)),0,ABS(($F44*100)-(Data!BB42-$I44)*$K44)),ABS(($F44*100)-(Data!BB42-$G44)*$K44))</f>
        <v>99.7634420572192</v>
      </c>
      <c r="BJ44" s="64">
        <f>CHOOSE($E44,SUMPRODUCT((BJ45:BJ$65)*($M45:$M$65)*($C45:AY$65=$B44)),IF(NOT(ISNUMBER(Data!BC42)),0,ABS(($F44*100)-(Data!BC42-$I44)*$K44)),ABS(($F44*100)-(Data!BC42-$G44)*$K44))</f>
        <v>99.6251466445166</v>
      </c>
      <c r="BK44" s="64">
        <f>CHOOSE($E44,SUMPRODUCT((BK45:BK$65)*($M45:$M$65)*($C45:AZ$65=$B44)),IF(NOT(ISNUMBER(Data!BD42)),0,ABS(($F44*100)-(Data!BD42-$I44)*$K44)),ABS(($F44*100)-(Data!BD42-$G44)*$K44))</f>
        <v>99.5325164464094</v>
      </c>
      <c r="BM44" s="65"/>
    </row>
    <row r="45" s="22" customFormat="1" spans="1:65">
      <c r="A45" s="24"/>
      <c r="B45" s="24" t="str">
        <f>tblIndicators!B38</f>
        <v>INFSAF_OP_02</v>
      </c>
      <c r="C45" s="24" t="str">
        <f>tblIndicators!C38</f>
        <v>INFSAF_OP</v>
      </c>
      <c r="D45" s="52">
        <f>tblIndicators!D38</f>
        <v>3</v>
      </c>
      <c r="E45" s="52">
        <f>tblIndicators!M38</f>
        <v>2</v>
      </c>
      <c r="F45" s="52">
        <f>tblIndicators!N38</f>
        <v>1</v>
      </c>
      <c r="G45" s="52">
        <f>tblIndicators!Q38</f>
        <v>0</v>
      </c>
      <c r="H45" s="52">
        <f>tblIndicators!R38</f>
        <v>0</v>
      </c>
      <c r="I45" s="52">
        <f>IF($E45=2,MIN(Data!G43:BD43),"")</f>
        <v>9.52</v>
      </c>
      <c r="J45" s="52">
        <f>IF($E45=2,MAX(Data!G43:BD43),"")</f>
        <v>3269</v>
      </c>
      <c r="K45" s="54">
        <f t="shared" si="3"/>
        <v>0.0306797403266779</v>
      </c>
      <c r="L45" s="62" t="str">
        <f>tblIndicators!Z38</f>
        <v>3.2.2) Frequency of vehicular accidents</v>
      </c>
      <c r="M45" s="63">
        <f>tblIndicators!AC38</f>
        <v>0.25</v>
      </c>
      <c r="N45" s="64">
        <f>CHOOSE($E45,SUMPRODUCT((N46:N$65)*($M46:$M$65)*($C46:C$65=$B45)),IF(NOT(ISNUMBER(Data!G43)),0,ABS(($F45*100)-(Data!G43-$I45)*$K45)),ABS(($F45*100)-(Data!G43-$G45)*$K45))</f>
        <v>95.5367113772749</v>
      </c>
      <c r="O45" s="64">
        <f>CHOOSE($E45,SUMPRODUCT((O46:O$65)*($M46:$M$65)*($C46:D$65=$B45)),IF(NOT(ISNUMBER(Data!H43)),0,ABS(($F45*100)-(Data!H43-$I45)*$K45)),ABS(($F45*100)-(Data!H43-$G45)*$K45))</f>
        <v>40.4358977505614</v>
      </c>
      <c r="P45" s="64">
        <f>CHOOSE($E45,SUMPRODUCT((P46:P$65)*($M46:$M$65)*($C46:E$65=$B45)),IF(NOT(ISNUMBER(Data!I43)),0,ABS(($F45*100)-(Data!I43-$I45)*$K45)),ABS(($F45*100)-(Data!I43-$G45)*$K45))</f>
        <v>93.0614699277185</v>
      </c>
      <c r="Q45" s="64">
        <f>CHOOSE($E45,SUMPRODUCT((Q46:Q$65)*($M46:$M$65)*($C46:F$65=$B45)),IF(NOT(ISNUMBER(Data!J43)),0,ABS(($F45*100)-(Data!J43-$I45)*$K45)),ABS(($F45*100)-(Data!J43-$G45)*$K45))</f>
        <v>93.051652410814</v>
      </c>
      <c r="R45" s="64">
        <f>CHOOSE($E45,SUMPRODUCT((R46:R$65)*($M46:$M$65)*($C46:G$65=$B45)),IF(NOT(ISNUMBER(Data!K43)),0,ABS(($F45*100)-(Data!K43-$I45)*$K45)),ABS(($F45*100)-(Data!K43-$G45)*$K45))</f>
        <v>89.7382404555328</v>
      </c>
      <c r="S45" s="64">
        <f>CHOOSE($E45,SUMPRODUCT((S46:S$65)*($M46:$M$65)*($C46:H$65=$B45)),IF(NOT(ISNUMBER(Data!L43)),0,ABS(($F45*100)-(Data!L43-$I45)*$K45)),ABS(($F45*100)-(Data!L43-$G45)*$K45))</f>
        <v>87.1918220084185</v>
      </c>
      <c r="T45" s="64">
        <f>CHOOSE($E45,SUMPRODUCT((T46:T$65)*($M46:$M$65)*($C46:I$65=$B45)),IF(NOT(ISNUMBER(Data!M43)),0,ABS(($F45*100)-(Data!M43-$I45)*$K45)),ABS(($F45*100)-(Data!M43-$G45)*$K45))</f>
        <v>86.2714297986182</v>
      </c>
      <c r="U45" s="64">
        <f>CHOOSE($E45,SUMPRODUCT((U46:U$65)*($M46:$M$65)*($C46:J$65=$B45)),IF(NOT(ISNUMBER(Data!N43)),0,ABS(($F45*100)-(Data!N43-$I45)*$K45)),ABS(($F45*100)-(Data!N43-$G45)*$K45))</f>
        <v>73.815455225987</v>
      </c>
      <c r="V45" s="64">
        <f>CHOOSE($E45,SUMPRODUCT((V46:V$65)*($M46:$M$65)*($C46:K$65=$B45)),IF(NOT(ISNUMBER(Data!O43)),0,ABS(($F45*100)-(Data!O43-$I45)*$K45)),ABS(($F45*100)-(Data!O43-$G45)*$K45))</f>
        <v>88.4190116214856</v>
      </c>
      <c r="W45" s="64">
        <f>CHOOSE($E45,SUMPRODUCT((W46:W$65)*($M46:$M$65)*($C46:L$65=$B45)),IF(NOT(ISNUMBER(Data!P43)),0,ABS(($F45*100)-(Data!P43-$I45)*$K45)),ABS(($F45*100)-(Data!P43-$G45)*$K45))</f>
        <v>81.9762661528833</v>
      </c>
      <c r="X45" s="64">
        <f>CHOOSE($E45,SUMPRODUCT((X46:X$65)*($M46:$M$65)*($C46:M$65=$B45)),IF(NOT(ISNUMBER(Data!Q43)),0,ABS(($F45*100)-(Data!Q43-$I45)*$K45)),ABS(($F45*100)-(Data!Q43-$G45)*$K45))</f>
        <v>0</v>
      </c>
      <c r="Y45" s="64">
        <f>CHOOSE($E45,SUMPRODUCT((Y46:Y$65)*($M46:$M$65)*($C46:N$65=$B45)),IF(NOT(ISNUMBER(Data!R43)),0,ABS(($F45*100)-(Data!R43-$I45)*$K45)),ABS(($F45*100)-(Data!R43-$G45)*$K45))</f>
        <v>81.5774295286365</v>
      </c>
      <c r="Z45" s="64">
        <f>CHOOSE($E45,SUMPRODUCT((Z46:Z$65)*($M46:$M$65)*($C46:O$65=$B45)),IF(NOT(ISNUMBER(Data!S43)),0,ABS(($F45*100)-(Data!S43-$I45)*$K45)),ABS(($F45*100)-(Data!S43-$G45)*$K45))</f>
        <v>89.0939659086725</v>
      </c>
      <c r="AA45" s="64">
        <f>CHOOSE($E45,SUMPRODUCT((AA46:AA$65)*($M46:$M$65)*($C46:P$65=$B45)),IF(NOT(ISNUMBER(Data!T43)),0,ABS(($F45*100)-(Data!T43-$I45)*$K45)),ABS(($F45*100)-(Data!T43-$G45)*$K45))</f>
        <v>74.9812853584007</v>
      </c>
      <c r="AB45" s="64">
        <f>CHOOSE($E45,SUMPRODUCT((AB46:AB$65)*($M46:$M$65)*($C46:Q$65=$B45)),IF(NOT(ISNUMBER(Data!U43)),0,ABS(($F45*100)-(Data!U43-$I45)*$K45)),ABS(($F45*100)-(Data!U43-$G45)*$K45))</f>
        <v>10.8913078159706</v>
      </c>
      <c r="AC45" s="64">
        <f>CHOOSE($E45,SUMPRODUCT((AC46:AC$65)*($M46:$M$65)*($C46:R$65=$B45)),IF(NOT(ISNUMBER(Data!V43)),0,ABS(($F45*100)-(Data!V43-$I45)*$K45)),ABS(($F45*100)-(Data!V43-$G45)*$K45))</f>
        <v>82.958017843337</v>
      </c>
      <c r="AD45" s="64">
        <f>CHOOSE($E45,SUMPRODUCT((AD46:AD$65)*($M46:$M$65)*($C46:S$65=$B45)),IF(NOT(ISNUMBER(Data!W43)),0,ABS(($F45*100)-(Data!W43-$I45)*$K45)),ABS(($F45*100)-(Data!W43-$G45)*$K45))</f>
        <v>89.8302796765128</v>
      </c>
      <c r="AE45" s="64">
        <f>CHOOSE($E45,SUMPRODUCT((AE46:AE$65)*($M46:$M$65)*($C46:T$65=$B45)),IF(NOT(ISNUMBER(Data!X43)),0,ABS(($F45*100)-(Data!X43-$I45)*$K45)),ABS(($F45*100)-(Data!X43-$G45)*$K45))</f>
        <v>93.3891295544074</v>
      </c>
      <c r="AF45" s="64">
        <f>CHOOSE($E45,SUMPRODUCT((AF46:AF$65)*($M46:$M$65)*($C46:U$65=$B45)),IF(NOT(ISNUMBER(Data!Y43)),0,ABS(($F45*100)-(Data!Y43-$I45)*$K45)),ABS(($F45*100)-(Data!Y43-$G45)*$K45))</f>
        <v>99.7922981579884</v>
      </c>
      <c r="AG45" s="64">
        <f>CHOOSE($E45,SUMPRODUCT((AG46:AG$65)*($M46:$M$65)*($C46:V$65=$B45)),IF(NOT(ISNUMBER(Data!Z43)),0,ABS(($F45*100)-(Data!Z43-$I45)*$K45)),ABS(($F45*100)-(Data!Z43-$G45)*$K45))</f>
        <v>100</v>
      </c>
      <c r="AH45" s="64">
        <f>CHOOSE($E45,SUMPRODUCT((AH46:AH$65)*($M46:$M$65)*($C46:W$65=$B45)),IF(NOT(ISNUMBER(Data!AA43)),0,ABS(($F45*100)-(Data!AA43-$I45)*$K45)),ABS(($F45*100)-(Data!AA43-$G45)*$K45))</f>
        <v>99.5471670327782</v>
      </c>
      <c r="AI45" s="64">
        <f>CHOOSE($E45,SUMPRODUCT((AI46:AI$65)*($M46:$M$65)*($C46:X$65=$B45)),IF(NOT(ISNUMBER(Data!AB43)),0,ABS(($F45*100)-(Data!AB43-$I45)*$K45)),ABS(($F45*100)-(Data!AB43-$G45)*$K45))</f>
        <v>99.7398358020298</v>
      </c>
      <c r="AJ45" s="64">
        <f>CHOOSE($E45,SUMPRODUCT((AJ46:AJ$65)*($M46:$M$65)*($C46:Y$65=$B45)),IF(NOT(ISNUMBER(Data!AC43)),0,ABS(($F45*100)-(Data!AC43-$I45)*$K45)),ABS(($F45*100)-(Data!AC43-$G45)*$K45))</f>
        <v>99.5557573600697</v>
      </c>
      <c r="AK45" s="64">
        <f>CHOOSE($E45,SUMPRODUCT((AK46:AK$65)*($M46:$M$65)*($C46:Z$65=$B45)),IF(NOT(ISNUMBER(Data!AD43)),0,ABS(($F45*100)-(Data!AD43-$I45)*$K45)),ABS(($F45*100)-(Data!AD43-$G45)*$K45))</f>
        <v>99.7091560617031</v>
      </c>
      <c r="AL45" s="64">
        <f>CHOOSE($E45,SUMPRODUCT((AL46:AL$65)*($M46:$M$65)*($C46:AA$65=$B45)),IF(NOT(ISNUMBER(Data!AE43)),0,ABS(($F45*100)-(Data!AE43-$I45)*$K45)),ABS(($F45*100)-(Data!AE43-$G45)*$K45))</f>
        <v>99.1876004761496</v>
      </c>
      <c r="AM45" s="64">
        <f>CHOOSE($E45,SUMPRODUCT((AM46:AM$65)*($M46:$M$65)*($C46:AB$65=$B45)),IF(NOT(ISNUMBER(Data!AF43)),0,ABS(($F45*100)-(Data!AF43-$I45)*$K45)),ABS(($F45*100)-(Data!AF43-$G45)*$K45))</f>
        <v>98.3899272276559</v>
      </c>
      <c r="AN45" s="64">
        <f>CHOOSE($E45,SUMPRODUCT((AN46:AN$65)*($M46:$M$65)*($C46:AC$65=$B45)),IF(NOT(ISNUMBER(Data!AG43)),0,ABS(($F45*100)-(Data!AG43-$I45)*$K45)),ABS(($F45*100)-(Data!AG43-$G45)*$K45))</f>
        <v>95.5060316369482</v>
      </c>
      <c r="AO45" s="64">
        <f>CHOOSE($E45,SUMPRODUCT((AO46:AO$65)*($M46:$M$65)*($C46:AD$65=$B45)),IF(NOT(ISNUMBER(Data!AH43)),0,ABS(($F45*100)-(Data!AH43-$I45)*$K45)),ABS(($F45*100)-(Data!AH43-$G45)*$K45))</f>
        <v>89.339403831286</v>
      </c>
      <c r="AP45" s="64">
        <f>CHOOSE($E45,SUMPRODUCT((AP46:AP$65)*($M46:$M$65)*($C46:AE$65=$B45)),IF(NOT(ISNUMBER(Data!AI43)),0,ABS(($F45*100)-(Data!AI43-$I45)*$K45)),ABS(($F45*100)-(Data!AI43-$G45)*$K45))</f>
        <v>83.6022923901972</v>
      </c>
      <c r="AQ45" s="64">
        <f>CHOOSE($E45,SUMPRODUCT((AQ46:AQ$65)*($M46:$M$65)*($C46:AF$65=$B45)),IF(NOT(ISNUMBER(Data!AJ43)),0,ABS(($F45*100)-(Data!AJ43-$I45)*$K45)),ABS(($F45*100)-(Data!AJ43-$G45)*$K45))</f>
        <v>96.671861769362</v>
      </c>
      <c r="AR45" s="64">
        <f>CHOOSE($E45,SUMPRODUCT((AR46:AR$65)*($M46:$M$65)*($C46:AG$65=$B45)),IF(NOT(ISNUMBER(Data!AK43)),0,ABS(($F45*100)-(Data!AK43-$I45)*$K45)),ABS(($F45*100)-(Data!AK43-$G45)*$K45))</f>
        <v>88.0115846699474</v>
      </c>
      <c r="AS45" s="64">
        <f>CHOOSE($E45,SUMPRODUCT((AS46:AS$65)*($M46:$M$65)*($C46:AH$65=$B45)),IF(NOT(ISNUMBER(Data!AL43)),0,ABS(($F45*100)-(Data!AL43-$I45)*$K45)),ABS(($F45*100)-(Data!AL43-$G45)*$K45))</f>
        <v>76.9024506976573</v>
      </c>
      <c r="AT45" s="64">
        <f>CHOOSE($E45,SUMPRODUCT((AT46:AT$65)*($M46:$M$65)*($C46:AI$65=$B45)),IF(NOT(ISNUMBER(Data!AM43)),0,ABS(($F45*100)-(Data!AM43-$I45)*$K45)),ABS(($F45*100)-(Data!AM43-$G45)*$K45))</f>
        <v>90.6279529250064</v>
      </c>
      <c r="AU45" s="64">
        <f>CHOOSE($E45,SUMPRODUCT((AU46:AU$65)*($M46:$M$65)*($C46:AJ$65=$B45)),IF(NOT(ISNUMBER(Data!AN43)),0,ABS(($F45*100)-(Data!AN43-$I45)*$K45)),ABS(($F45*100)-(Data!AN43-$G45)*$K45))</f>
        <v>99.2949795672929</v>
      </c>
      <c r="AV45" s="64">
        <f>CHOOSE($E45,SUMPRODUCT((AV46:AV$65)*($M46:$M$65)*($C46:AK$65=$B45)),IF(NOT(ISNUMBER(Data!AO43)),0,ABS(($F45*100)-(Data!AO43-$I45)*$K45)),ABS(($F45*100)-(Data!AO43-$G45)*$K45))</f>
        <v>68.5952974094027</v>
      </c>
      <c r="AW45" s="64">
        <f>CHOOSE($E45,SUMPRODUCT((AW46:AW$65)*($M46:$M$65)*($C46:AL$65=$B45)),IF(NOT(ISNUMBER(Data!AP43)),0,ABS(($F45*100)-(Data!AP43-$I45)*$K45)),ABS(($F45*100)-(Data!AP43-$G45)*$K45))</f>
        <v>93.4811687753875</v>
      </c>
      <c r="AX45" s="64">
        <f>CHOOSE($E45,SUMPRODUCT((AX46:AX$65)*($M46:$M$65)*($C46:AM$65=$B45)),IF(NOT(ISNUMBER(Data!AQ43)),0,ABS(($F45*100)-(Data!AQ43-$I45)*$K45)),ABS(($F45*100)-(Data!AQ43-$G45)*$K45))</f>
        <v>30.004786039491</v>
      </c>
      <c r="AY45" s="64">
        <f>CHOOSE($E45,SUMPRODUCT((AY46:AY$65)*($M46:$M$65)*($C46:AN$65=$B45)),IF(NOT(ISNUMBER(Data!AR43)),0,ABS(($F45*100)-(Data!AR43-$I45)*$K45)),ABS(($F45*100)-(Data!AR43-$G45)*$K45))</f>
        <v>97.7456526807957</v>
      </c>
      <c r="AZ45" s="64">
        <f>CHOOSE($E45,SUMPRODUCT((AZ46:AZ$65)*($M46:$M$65)*($C46:AO$65=$B45)),IF(NOT(ISNUMBER(Data!AS43)),0,ABS(($F45*100)-(Data!AS43-$I45)*$K45)),ABS(($F45*100)-(Data!AS43-$G45)*$K45))</f>
        <v>89.8302796765128</v>
      </c>
      <c r="BA45" s="64">
        <f>CHOOSE($E45,SUMPRODUCT((BA46:BA$65)*($M46:$M$65)*($C46:AP$65=$B45)),IF(NOT(ISNUMBER(Data!AT43)),0,ABS(($F45*100)-(Data!AT43-$I45)*$K45)),ABS(($F45*100)-(Data!AT43-$G45)*$K45))</f>
        <v>67.7408666413047</v>
      </c>
      <c r="BB45" s="64">
        <f>CHOOSE($E45,SUMPRODUCT((BB46:BB$65)*($M46:$M$65)*($C46:AQ$65=$B45)),IF(NOT(ISNUMBER(Data!AU43)),0,ABS(($F45*100)-(Data!AU43-$I45)*$K45)),ABS(($F45*100)-(Data!AU43-$G45)*$K45))</f>
        <v>33.5022764367322</v>
      </c>
      <c r="BC45" s="64">
        <f>CHOOSE($E45,SUMPRODUCT((BC46:BC$65)*($M46:$M$65)*($C46:AR$65=$B45)),IF(NOT(ISNUMBER(Data!AV43)),0,ABS(($F45*100)-(Data!AV43-$I45)*$K45)),ABS(($F45*100)-(Data!AV43-$G45)*$K45))</f>
        <v>78.6321744572754</v>
      </c>
      <c r="BD45" s="64">
        <f>CHOOSE($E45,SUMPRODUCT((BD46:BD$65)*($M46:$M$65)*($C46:AS$65=$B45)),IF(NOT(ISNUMBER(Data!AW43)),0,ABS(($F45*100)-(Data!AW43-$I45)*$K45)),ABS(($F45*100)-(Data!AW43-$G45)*$K45))</f>
        <v>60.9606440291089</v>
      </c>
      <c r="BE45" s="64">
        <f>CHOOSE($E45,SUMPRODUCT((BE46:BE$65)*($M46:$M$65)*($C46:AT$65=$B45)),IF(NOT(ISNUMBER(Data!AX43)),0,ABS(($F45*100)-(Data!AX43-$I45)*$K45)),ABS(($F45*100)-(Data!AX43-$G45)*$K45))</f>
        <v>98.6353651502694</v>
      </c>
      <c r="BF45" s="64">
        <f>CHOOSE($E45,SUMPRODUCT((BF46:BF$65)*($M46:$M$65)*($C46:AU$65=$B45)),IF(NOT(ISNUMBER(Data!AY43)),0,ABS(($F45*100)-(Data!AY43-$I45)*$K45)),ABS(($F45*100)-(Data!AY43-$G45)*$K45))</f>
        <v>97.1013781339355</v>
      </c>
      <c r="BG45" s="64">
        <f>CHOOSE($E45,SUMPRODUCT((BG46:BG$65)*($M46:$M$65)*($C46:AV$65=$B45)),IF(NOT(ISNUMBER(Data!AZ43)),0,ABS(($F45*100)-(Data!AZ43-$I45)*$K45)),ABS(($F45*100)-(Data!AZ43-$G45)*$K45))</f>
        <v>94.861757090088</v>
      </c>
      <c r="BH45" s="64">
        <f>CHOOSE($E45,SUMPRODUCT((BH46:BH$65)*($M46:$M$65)*($C46:AW$65=$B45)),IF(NOT(ISNUMBER(Data!BA43)),0,ABS(($F45*100)-(Data!BA43-$I45)*$K45)),ABS(($F45*100)-(Data!BA43-$G45)*$K45))</f>
        <v>82.7125799207236</v>
      </c>
      <c r="BI45" s="64">
        <f>CHOOSE($E45,SUMPRODUCT((BI46:BI$65)*($M46:$M$65)*($C46:AX$65=$B45)),IF(NOT(ISNUMBER(Data!BB43)),0,ABS(($F45*100)-(Data!BB43-$I45)*$K45)),ABS(($F45*100)-(Data!BB43-$G45)*$K45))</f>
        <v>73.04846171782</v>
      </c>
      <c r="BJ45" s="64">
        <f>CHOOSE($E45,SUMPRODUCT((BJ46:BJ$65)*($M46:$M$65)*($C46:AY$65=$B45)),IF(NOT(ISNUMBER(Data!BC43)),0,ABS(($F45*100)-(Data!BC43-$I45)*$K45)),ABS(($F45*100)-(Data!BC43-$G45)*$K45))</f>
        <v>52.002159853719</v>
      </c>
      <c r="BK45" s="64">
        <f>CHOOSE($E45,SUMPRODUCT((BK46:BK$65)*($M46:$M$65)*($C46:AZ$65=$B45)),IF(NOT(ISNUMBER(Data!BD43)),0,ABS(($F45*100)-(Data!BD43-$I45)*$K45)),ABS(($F45*100)-(Data!BD43-$G45)*$K45))</f>
        <v>93.6345674770209</v>
      </c>
      <c r="BM45" s="65"/>
    </row>
    <row r="46" s="22" customFormat="1" spans="1:65">
      <c r="A46" s="24"/>
      <c r="B46" s="24" t="str">
        <f>tblIndicators!B39</f>
        <v>INFSAF_OP_03</v>
      </c>
      <c r="C46" s="24" t="str">
        <f>tblIndicators!C39</f>
        <v>INFSAF_OP</v>
      </c>
      <c r="D46" s="52">
        <f>tblIndicators!D39</f>
        <v>3</v>
      </c>
      <c r="E46" s="52">
        <f>tblIndicators!M39</f>
        <v>2</v>
      </c>
      <c r="F46" s="52">
        <f>tblIndicators!N39</f>
        <v>1</v>
      </c>
      <c r="G46" s="52">
        <f>tblIndicators!Q39</f>
        <v>0</v>
      </c>
      <c r="H46" s="52">
        <f>tblIndicators!R39</f>
        <v>0</v>
      </c>
      <c r="I46" s="52">
        <f>IF($E46=2,MIN(Data!G44:BD44),"")</f>
        <v>0.2</v>
      </c>
      <c r="J46" s="52">
        <f>IF($E46=2,MAX(Data!G44:BD44),"")</f>
        <v>53.8</v>
      </c>
      <c r="K46" s="54">
        <f t="shared" si="3"/>
        <v>1.86567164179105</v>
      </c>
      <c r="L46" s="62" t="str">
        <f>tblIndicators!Z39</f>
        <v>3.2.3) Frequency of pedestrian deaths</v>
      </c>
      <c r="M46" s="63">
        <f>tblIndicators!AC39</f>
        <v>0.25</v>
      </c>
      <c r="N46" s="64">
        <f>CHOOSE($E46,SUMPRODUCT((N47:N$65)*($M47:$M$65)*($C47:C$65=$B46)),IF(NOT(ISNUMBER(Data!G44)),0,ABS(($F46*100)-(Data!G44-$I46)*$K46)),ABS(($F46*100)-(Data!G44-$G46)*$K46))</f>
        <v>99.4402985074627</v>
      </c>
      <c r="O46" s="64">
        <f>CHOOSE($E46,SUMPRODUCT((O47:O$65)*($M47:$M$65)*($C47:D$65=$B46)),IF(NOT(ISNUMBER(Data!H44)),0,ABS(($F46*100)-(Data!H44-$I46)*$K46)),ABS(($F46*100)-(Data!H44-$G46)*$K46))</f>
        <v>82.8358208955224</v>
      </c>
      <c r="P46" s="64">
        <f>CHOOSE($E46,SUMPRODUCT((P47:P$65)*($M47:$M$65)*($C47:E$65=$B46)),IF(NOT(ISNUMBER(Data!I44)),0,ABS(($F46*100)-(Data!I44-$I46)*$K46)),ABS(($F46*100)-(Data!I44-$G46)*$K46))</f>
        <v>30.5970149253731</v>
      </c>
      <c r="Q46" s="64">
        <f>CHOOSE($E46,SUMPRODUCT((Q47:Q$65)*($M47:$M$65)*($C47:F$65=$B46)),IF(NOT(ISNUMBER(Data!J44)),0,ABS(($F46*100)-(Data!J44-$I46)*$K46)),ABS(($F46*100)-(Data!J44-$G46)*$K46))</f>
        <v>89.9253731343284</v>
      </c>
      <c r="R46" s="64">
        <f>CHOOSE($E46,SUMPRODUCT((R47:R$65)*($M47:$M$65)*($C47:G$65=$B46)),IF(NOT(ISNUMBER(Data!K44)),0,ABS(($F46*100)-(Data!K44-$I46)*$K46)),ABS(($F46*100)-(Data!K44-$G46)*$K46))</f>
        <v>90.1119402985075</v>
      </c>
      <c r="S46" s="64">
        <f>CHOOSE($E46,SUMPRODUCT((S47:S$65)*($M47:$M$65)*($C47:H$65=$B46)),IF(NOT(ISNUMBER(Data!L44)),0,ABS(($F46*100)-(Data!L44-$I46)*$K46)),ABS(($F46*100)-(Data!L44-$G46)*$K46))</f>
        <v>95.5223880597015</v>
      </c>
      <c r="T46" s="64">
        <f>CHOOSE($E46,SUMPRODUCT((T47:T$65)*($M47:$M$65)*($C47:I$65=$B46)),IF(NOT(ISNUMBER(Data!M44)),0,ABS(($F46*100)-(Data!M44-$I46)*$K46)),ABS(($F46*100)-(Data!M44-$G46)*$K46))</f>
        <v>96.6417910447761</v>
      </c>
      <c r="U46" s="64">
        <f>CHOOSE($E46,SUMPRODUCT((U47:U$65)*($M47:$M$65)*($C47:J$65=$B46)),IF(NOT(ISNUMBER(Data!N44)),0,ABS(($F46*100)-(Data!N44-$I46)*$K46)),ABS(($F46*100)-(Data!N44-$G46)*$K46))</f>
        <v>99.6268656716418</v>
      </c>
      <c r="V46" s="64">
        <f>CHOOSE($E46,SUMPRODUCT((V47:V$65)*($M47:$M$65)*($C47:K$65=$B46)),IF(NOT(ISNUMBER(Data!O44)),0,ABS(($F46*100)-(Data!O44-$I46)*$K46)),ABS(($F46*100)-(Data!O44-$G46)*$K46))</f>
        <v>100</v>
      </c>
      <c r="W46" s="64">
        <f>CHOOSE($E46,SUMPRODUCT((W47:W$65)*($M47:$M$65)*($C47:L$65=$B46)),IF(NOT(ISNUMBER(Data!P44)),0,ABS(($F46*100)-(Data!P44-$I46)*$K46)),ABS(($F46*100)-(Data!P44-$G46)*$K46))</f>
        <v>97.0149253731343</v>
      </c>
      <c r="X46" s="64">
        <f>CHOOSE($E46,SUMPRODUCT((X47:X$65)*($M47:$M$65)*($C47:M$65=$B46)),IF(NOT(ISNUMBER(Data!Q44)),0,ABS(($F46*100)-(Data!Q44-$I46)*$K46)),ABS(($F46*100)-(Data!Q44-$G46)*$K46))</f>
        <v>0</v>
      </c>
      <c r="Y46" s="64">
        <f>CHOOSE($E46,SUMPRODUCT((Y47:Y$65)*($M47:$M$65)*($C47:N$65=$B46)),IF(NOT(ISNUMBER(Data!R44)),0,ABS(($F46*100)-(Data!R44-$I46)*$K46)),ABS(($F46*100)-(Data!R44-$G46)*$K46))</f>
        <v>91.2313432835821</v>
      </c>
      <c r="Z46" s="64">
        <f>CHOOSE($E46,SUMPRODUCT((Z47:Z$65)*($M47:$M$65)*($C47:O$65=$B46)),IF(NOT(ISNUMBER(Data!S44)),0,ABS(($F46*100)-(Data!S44-$I46)*$K46)),ABS(($F46*100)-(Data!S44-$G46)*$K46))</f>
        <v>78.544776119403</v>
      </c>
      <c r="AA46" s="64">
        <f>CHOOSE($E46,SUMPRODUCT((AA47:AA$65)*($M47:$M$65)*($C47:P$65=$B46)),IF(NOT(ISNUMBER(Data!T44)),0,ABS(($F46*100)-(Data!T44-$I46)*$K46)),ABS(($F46*100)-(Data!T44-$G46)*$K46))</f>
        <v>97.3880597014925</v>
      </c>
      <c r="AB46" s="64">
        <f>CHOOSE($E46,SUMPRODUCT((AB47:AB$65)*($M47:$M$65)*($C47:Q$65=$B46)),IF(NOT(ISNUMBER(Data!U44)),0,ABS(($F46*100)-(Data!U44-$I46)*$K46)),ABS(($F46*100)-(Data!U44-$G46)*$K46))</f>
        <v>97.9477611940299</v>
      </c>
      <c r="AC46" s="64">
        <f>CHOOSE($E46,SUMPRODUCT((AC47:AC$65)*($M47:$M$65)*($C47:R$65=$B46)),IF(NOT(ISNUMBER(Data!V44)),0,ABS(($F46*100)-(Data!V44-$I46)*$K46)),ABS(($F46*100)-(Data!V44-$G46)*$K46))</f>
        <v>99.0671641791045</v>
      </c>
      <c r="AD46" s="64">
        <f>CHOOSE($E46,SUMPRODUCT((AD47:AD$65)*($M47:$M$65)*($C47:S$65=$B46)),IF(NOT(ISNUMBER(Data!W44)),0,ABS(($F46*100)-(Data!W44-$I46)*$K46)),ABS(($F46*100)-(Data!W44-$G46)*$K46))</f>
        <v>99.2537313432836</v>
      </c>
      <c r="AE46" s="64">
        <f>CHOOSE($E46,SUMPRODUCT((AE47:AE$65)*($M47:$M$65)*($C47:T$65=$B46)),IF(NOT(ISNUMBER(Data!X44)),0,ABS(($F46*100)-(Data!X44-$I46)*$K46)),ABS(($F46*100)-(Data!X44-$G46)*$K46))</f>
        <v>5.22388059701491</v>
      </c>
      <c r="AF46" s="64">
        <f>CHOOSE($E46,SUMPRODUCT((AF47:AF$65)*($M47:$M$65)*($C47:U$65=$B46)),IF(NOT(ISNUMBER(Data!Y44)),0,ABS(($F46*100)-(Data!Y44-$I46)*$K46)),ABS(($F46*100)-(Data!Y44-$G46)*$K46))</f>
        <v>98.134328358209</v>
      </c>
      <c r="AG46" s="64">
        <f>CHOOSE($E46,SUMPRODUCT((AG47:AG$65)*($M47:$M$65)*($C47:V$65=$B46)),IF(NOT(ISNUMBER(Data!Z44)),0,ABS(($F46*100)-(Data!Z44-$I46)*$K46)),ABS(($F46*100)-(Data!Z44-$G46)*$K46))</f>
        <v>98.5074626865672</v>
      </c>
      <c r="AH46" s="64">
        <f>CHOOSE($E46,SUMPRODUCT((AH47:AH$65)*($M47:$M$65)*($C47:W$65=$B46)),IF(NOT(ISNUMBER(Data!AA44)),0,ABS(($F46*100)-(Data!AA44-$I46)*$K46)),ABS(($F46*100)-(Data!AA44-$G46)*$K46))</f>
        <v>98.134328358209</v>
      </c>
      <c r="AI46" s="64">
        <f>CHOOSE($E46,SUMPRODUCT((AI47:AI$65)*($M47:$M$65)*($C47:X$65=$B46)),IF(NOT(ISNUMBER(Data!AB44)),0,ABS(($F46*100)-(Data!AB44-$I46)*$K46)),ABS(($F46*100)-(Data!AB44-$G46)*$K46))</f>
        <v>98.5074626865672</v>
      </c>
      <c r="AJ46" s="64">
        <f>CHOOSE($E46,SUMPRODUCT((AJ47:AJ$65)*($M47:$M$65)*($C47:Y$65=$B46)),IF(NOT(ISNUMBER(Data!AC44)),0,ABS(($F46*100)-(Data!AC44-$I46)*$K46)),ABS(($F46*100)-(Data!AC44-$G46)*$K46))</f>
        <v>98.5074626865672</v>
      </c>
      <c r="AK46" s="64">
        <f>CHOOSE($E46,SUMPRODUCT((AK47:AK$65)*($M47:$M$65)*($C47:Z$65=$B46)),IF(NOT(ISNUMBER(Data!AD44)),0,ABS(($F46*100)-(Data!AD44-$I46)*$K46)),ABS(($F46*100)-(Data!AD44-$G46)*$K46))</f>
        <v>97.7611940298507</v>
      </c>
      <c r="AL46" s="64">
        <f>CHOOSE($E46,SUMPRODUCT((AL47:AL$65)*($M47:$M$65)*($C47:AA$65=$B46)),IF(NOT(ISNUMBER(Data!AE44)),0,ABS(($F46*100)-(Data!AE44-$I46)*$K46)),ABS(($F46*100)-(Data!AE44-$G46)*$K46))</f>
        <v>95.5223880597015</v>
      </c>
      <c r="AM46" s="64">
        <f>CHOOSE($E46,SUMPRODUCT((AM47:AM$65)*($M47:$M$65)*($C47:AB$65=$B46)),IF(NOT(ISNUMBER(Data!AF44)),0,ABS(($F46*100)-(Data!AF44-$I46)*$K46)),ABS(($F46*100)-(Data!AF44-$G46)*$K46))</f>
        <v>95.3358208955224</v>
      </c>
      <c r="AN46" s="64">
        <f>CHOOSE($E46,SUMPRODUCT((AN47:AN$65)*($M47:$M$65)*($C47:AC$65=$B46)),IF(NOT(ISNUMBER(Data!AG44)),0,ABS(($F46*100)-(Data!AG44-$I46)*$K46)),ABS(($F46*100)-(Data!AG44-$G46)*$K46))</f>
        <v>80.9701492537313</v>
      </c>
      <c r="AO46" s="64">
        <f>CHOOSE($E46,SUMPRODUCT((AO47:AO$65)*($M47:$M$65)*($C47:AD$65=$B46)),IF(NOT(ISNUMBER(Data!AH44)),0,ABS(($F46*100)-(Data!AH44-$I46)*$K46)),ABS(($F46*100)-(Data!AH44-$G46)*$K46))</f>
        <v>97.2014925373134</v>
      </c>
      <c r="AP46" s="64">
        <f>CHOOSE($E46,SUMPRODUCT((AP47:AP$65)*($M47:$M$65)*($C47:AE$65=$B46)),IF(NOT(ISNUMBER(Data!AI44)),0,ABS(($F46*100)-(Data!AI44-$I46)*$K46)),ABS(($F46*100)-(Data!AI44-$G46)*$K46))</f>
        <v>97.9477611940299</v>
      </c>
      <c r="AQ46" s="64">
        <f>CHOOSE($E46,SUMPRODUCT((AQ47:AQ$65)*($M47:$M$65)*($C47:AF$65=$B46)),IF(NOT(ISNUMBER(Data!AJ44)),0,ABS(($F46*100)-(Data!AJ44-$I46)*$K46)),ABS(($F46*100)-(Data!AJ44-$G46)*$K46))</f>
        <v>98.8805970149254</v>
      </c>
      <c r="AR46" s="64">
        <f>CHOOSE($E46,SUMPRODUCT((AR47:AR$65)*($M47:$M$65)*($C47:AG$65=$B46)),IF(NOT(ISNUMBER(Data!AK44)),0,ABS(($F46*100)-(Data!AK44-$I46)*$K46)),ABS(($F46*100)-(Data!AK44-$G46)*$K46))</f>
        <v>97.3880597014925</v>
      </c>
      <c r="AS46" s="64">
        <f>CHOOSE($E46,SUMPRODUCT((AS47:AS$65)*($M47:$M$65)*($C47:AH$65=$B46)),IF(NOT(ISNUMBER(Data!AL44)),0,ABS(($F46*100)-(Data!AL44-$I46)*$K46)),ABS(($F46*100)-(Data!AL44-$G46)*$K46))</f>
        <v>98.6940298507463</v>
      </c>
      <c r="AT46" s="64">
        <f>CHOOSE($E46,SUMPRODUCT((AT47:AT$65)*($M47:$M$65)*($C47:AI$65=$B46)),IF(NOT(ISNUMBER(Data!AM44)),0,ABS(($F46*100)-(Data!AM44-$I46)*$K46)),ABS(($F46*100)-(Data!AM44-$G46)*$K46))</f>
        <v>97.6679104477612</v>
      </c>
      <c r="AU46" s="64">
        <f>CHOOSE($E46,SUMPRODUCT((AU47:AU$65)*($M47:$M$65)*($C47:AJ$65=$B46)),IF(NOT(ISNUMBER(Data!AN44)),0,ABS(($F46*100)-(Data!AN44-$I46)*$K46)),ABS(($F46*100)-(Data!AN44-$G46)*$K46))</f>
        <v>98.8432835820896</v>
      </c>
      <c r="AV46" s="64">
        <f>CHOOSE($E46,SUMPRODUCT((AV47:AV$65)*($M47:$M$65)*($C47:AK$65=$B46)),IF(NOT(ISNUMBER(Data!AO44)),0,ABS(($F46*100)-(Data!AO44-$I46)*$K46)),ABS(($F46*100)-(Data!AO44-$G46)*$K46))</f>
        <v>83.3955223880597</v>
      </c>
      <c r="AW46" s="64">
        <f>CHOOSE($E46,SUMPRODUCT((AW47:AW$65)*($M47:$M$65)*($C47:AL$65=$B46)),IF(NOT(ISNUMBER(Data!AP44)),0,ABS(($F46*100)-(Data!AP44-$I46)*$K46)),ABS(($F46*100)-(Data!AP44-$G46)*$K46))</f>
        <v>92.5373134328358</v>
      </c>
      <c r="AX46" s="64">
        <f>CHOOSE($E46,SUMPRODUCT((AX47:AX$65)*($M47:$M$65)*($C47:AM$65=$B46)),IF(NOT(ISNUMBER(Data!AQ44)),0,ABS(($F46*100)-(Data!AQ44-$I46)*$K46)),ABS(($F46*100)-(Data!AQ44-$G46)*$K46))</f>
        <v>95.1492537313433</v>
      </c>
      <c r="AY46" s="64">
        <f>CHOOSE($E46,SUMPRODUCT((AY47:AY$65)*($M47:$M$65)*($C47:AN$65=$B46)),IF(NOT(ISNUMBER(Data!AR44)),0,ABS(($F46*100)-(Data!AR44-$I46)*$K46)),ABS(($F46*100)-(Data!AR44-$G46)*$K46))</f>
        <v>96.8283582089552</v>
      </c>
      <c r="AZ46" s="64">
        <f>CHOOSE($E46,SUMPRODUCT((AZ47:AZ$65)*($M47:$M$65)*($C47:AO$65=$B46)),IF(NOT(ISNUMBER(Data!AS44)),0,ABS(($F46*100)-(Data!AS44-$I46)*$K46)),ABS(($F46*100)-(Data!AS44-$G46)*$K46))</f>
        <v>98.5074626865672</v>
      </c>
      <c r="BA46" s="64">
        <f>CHOOSE($E46,SUMPRODUCT((BA47:BA$65)*($M47:$M$65)*($C47:AP$65=$B46)),IF(NOT(ISNUMBER(Data!AT44)),0,ABS(($F46*100)-(Data!AT44-$I46)*$K46)),ABS(($F46*100)-(Data!AT44-$G46)*$K46))</f>
        <v>98.8805970149254</v>
      </c>
      <c r="BB46" s="64">
        <f>CHOOSE($E46,SUMPRODUCT((BB47:BB$65)*($M47:$M$65)*($C47:AQ$65=$B46)),IF(NOT(ISNUMBER(Data!AU44)),0,ABS(($F46*100)-(Data!AU44-$I46)*$K46)),ABS(($F46*100)-(Data!AU44-$G46)*$K46))</f>
        <v>99.2537313432836</v>
      </c>
      <c r="BC46" s="64">
        <f>CHOOSE($E46,SUMPRODUCT((BC47:BC$65)*($M47:$M$65)*($C47:AR$65=$B46)),IF(NOT(ISNUMBER(Data!AV44)),0,ABS(($F46*100)-(Data!AV44-$I46)*$K46)),ABS(($F46*100)-(Data!AV44-$G46)*$K46))</f>
        <v>95.8955223880597</v>
      </c>
      <c r="BD46" s="64">
        <f>CHOOSE($E46,SUMPRODUCT((BD47:BD$65)*($M47:$M$65)*($C47:AS$65=$B46)),IF(NOT(ISNUMBER(Data!AW44)),0,ABS(($F46*100)-(Data!AW44-$I46)*$K46)),ABS(($F46*100)-(Data!AW44-$G46)*$K46))</f>
        <v>95.5223880597015</v>
      </c>
      <c r="BE46" s="64">
        <f>CHOOSE($E46,SUMPRODUCT((BE47:BE$65)*($M47:$M$65)*($C47:AT$65=$B46)),IF(NOT(ISNUMBER(Data!AX44)),0,ABS(($F46*100)-(Data!AX44-$I46)*$K46)),ABS(($F46*100)-(Data!AX44-$G46)*$K46))</f>
        <v>99.6268656716418</v>
      </c>
      <c r="BF46" s="64">
        <f>CHOOSE($E46,SUMPRODUCT((BF47:BF$65)*($M47:$M$65)*($C47:AU$65=$B46)),IF(NOT(ISNUMBER(Data!AY44)),0,ABS(($F46*100)-(Data!AY44-$I46)*$K46)),ABS(($F46*100)-(Data!AY44-$G46)*$K46))</f>
        <v>82.089552238806</v>
      </c>
      <c r="BG46" s="64">
        <f>CHOOSE($E46,SUMPRODUCT((BG47:BG$65)*($M47:$M$65)*($C47:AV$65=$B46)),IF(NOT(ISNUMBER(Data!AZ44)),0,ABS(($F46*100)-(Data!AZ44-$I46)*$K46)),ABS(($F46*100)-(Data!AZ44-$G46)*$K46))</f>
        <v>99.8134328358209</v>
      </c>
      <c r="BH46" s="64">
        <f>CHOOSE($E46,SUMPRODUCT((BH47:BH$65)*($M47:$M$65)*($C47:AW$65=$B46)),IF(NOT(ISNUMBER(Data!BA44)),0,ABS(($F46*100)-(Data!BA44-$I46)*$K46)),ABS(($F46*100)-(Data!BA44-$G46)*$K46))</f>
        <v>99.0671641791045</v>
      </c>
      <c r="BI46" s="64">
        <f>CHOOSE($E46,SUMPRODUCT((BI47:BI$65)*($M47:$M$65)*($C47:AX$65=$B46)),IF(NOT(ISNUMBER(Data!BB44)),0,ABS(($F46*100)-(Data!BB44-$I46)*$K46)),ABS(($F46*100)-(Data!BB44-$G46)*$K46))</f>
        <v>98.6940298507463</v>
      </c>
      <c r="BJ46" s="64">
        <f>CHOOSE($E46,SUMPRODUCT((BJ47:BJ$65)*($M47:$M$65)*($C47:AY$65=$B46)),IF(NOT(ISNUMBER(Data!BC44)),0,ABS(($F46*100)-(Data!BC44-$I46)*$K46)),ABS(($F46*100)-(Data!BC44-$G46)*$K46))</f>
        <v>98.3208955223881</v>
      </c>
      <c r="BK46" s="64">
        <f>CHOOSE($E46,SUMPRODUCT((BK47:BK$65)*($M47:$M$65)*($C47:AZ$65=$B46)),IF(NOT(ISNUMBER(Data!BD44)),0,ABS(($F46*100)-(Data!BD44-$I46)*$K46)),ABS(($F46*100)-(Data!BD44-$G46)*$K46))</f>
        <v>98.8805970149254</v>
      </c>
      <c r="BM46" s="65"/>
    </row>
    <row r="47" s="22" customFormat="1" spans="1:65">
      <c r="A47" s="24"/>
      <c r="B47" s="24" t="str">
        <f>tblIndicators!B40</f>
        <v>INFSAF_OP_04</v>
      </c>
      <c r="C47" s="24" t="str">
        <f>tblIndicators!C40</f>
        <v>INFSAF_OP</v>
      </c>
      <c r="D47" s="52">
        <f>tblIndicators!D40</f>
        <v>3</v>
      </c>
      <c r="E47" s="52">
        <f>tblIndicators!M40</f>
        <v>2</v>
      </c>
      <c r="F47" s="52">
        <f>tblIndicators!N40</f>
        <v>1</v>
      </c>
      <c r="G47" s="52">
        <f>tblIndicators!Q40</f>
        <v>0</v>
      </c>
      <c r="H47" s="52">
        <f>tblIndicators!R40</f>
        <v>0</v>
      </c>
      <c r="I47" s="52">
        <f>IF($E47=2,MIN(Data!G45:BD45),"")</f>
        <v>2</v>
      </c>
      <c r="J47" s="52">
        <f>IF($E47=2,MAX(Data!G45:BD45),"")</f>
        <v>36.1</v>
      </c>
      <c r="K47" s="54">
        <f t="shared" si="3"/>
        <v>2.93255131964809</v>
      </c>
      <c r="L47" s="62" t="str">
        <f>tblIndicators!Z40</f>
        <v>3.2.4) Percent living in urban slums</v>
      </c>
      <c r="M47" s="63">
        <f>tblIndicators!AC40</f>
        <v>0.25</v>
      </c>
      <c r="N47" s="64">
        <f>CHOOSE($E47,SUMPRODUCT((N48:N$65)*($M48:$M$65)*($C48:C$65=$B47)),IF(NOT(ISNUMBER(Data!G45)),0,ABS(($F47*100)-(Data!G45-$I47)*$K47)),ABS(($F47*100)-(Data!G45-$G47)*$K47))</f>
        <v>70.3812316715542</v>
      </c>
      <c r="O47" s="64">
        <f>CHOOSE($E47,SUMPRODUCT((O48:O$65)*($M48:$M$65)*($C48:D$65=$B47)),IF(NOT(ISNUMBER(Data!H45)),0,ABS(($F47*100)-(Data!H45-$I47)*$K47)),ABS(($F47*100)-(Data!H45-$G47)*$K47))</f>
        <v>38.41642228739</v>
      </c>
      <c r="P47" s="64">
        <f>CHOOSE($E47,SUMPRODUCT((P48:P$65)*($M48:$M$65)*($C48:E$65=$B47)),IF(NOT(ISNUMBER(Data!I45)),0,ABS(($F47*100)-(Data!I45-$I47)*$K47)),ABS(($F47*100)-(Data!I45-$G47)*$K47))</f>
        <v>44.8680351906158</v>
      </c>
      <c r="Q47" s="64">
        <f>CHOOSE($E47,SUMPRODUCT((Q48:Q$65)*($M48:$M$65)*($C48:F$65=$B47)),IF(NOT(ISNUMBER(Data!J45)),0,ABS(($F47*100)-(Data!J45-$I47)*$K47)),ABS(($F47*100)-(Data!J45-$G47)*$K47))</f>
        <v>26.9794721407625</v>
      </c>
      <c r="R47" s="64">
        <f>CHOOSE($E47,SUMPRODUCT((R48:R$65)*($M48:$M$65)*($C48:G$65=$B47)),IF(NOT(ISNUMBER(Data!K45)),0,ABS(($F47*100)-(Data!K45-$I47)*$K47)),ABS(($F47*100)-(Data!K45-$G47)*$K47))</f>
        <v>26.9794721407625</v>
      </c>
      <c r="S47" s="64">
        <f>CHOOSE($E47,SUMPRODUCT((S48:S$65)*($M48:$M$65)*($C48:H$65=$B47)),IF(NOT(ISNUMBER(Data!L45)),0,ABS(($F47*100)-(Data!L45-$I47)*$K47)),ABS(($F47*100)-(Data!L45-$G47)*$K47))</f>
        <v>47.2140762463343</v>
      </c>
      <c r="T47" s="64">
        <f>CHOOSE($E47,SUMPRODUCT((T48:T$65)*($M48:$M$65)*($C48:I$65=$B47)),IF(NOT(ISNUMBER(Data!M45)),0,ABS(($F47*100)-(Data!M45-$I47)*$K47)),ABS(($F47*100)-(Data!M45-$G47)*$K47))</f>
        <v>47.2140762463343</v>
      </c>
      <c r="U47" s="64">
        <f>CHOOSE($E47,SUMPRODUCT((U48:U$65)*($M48:$M$65)*($C48:J$65=$B47)),IF(NOT(ISNUMBER(Data!N45)),0,ABS(($F47*100)-(Data!N45-$I47)*$K47)),ABS(($F47*100)-(Data!N45-$G47)*$K47))</f>
        <v>67.1554252199413</v>
      </c>
      <c r="V47" s="64">
        <f>CHOOSE($E47,SUMPRODUCT((V48:V$65)*($M48:$M$65)*($C48:K$65=$B47)),IF(NOT(ISNUMBER(Data!O45)),0,ABS(($F47*100)-(Data!O45-$I47)*$K47)),ABS(($F47*100)-(Data!O45-$G47)*$K47))</f>
        <v>67.4486803519061</v>
      </c>
      <c r="W47" s="64">
        <f>CHOOSE($E47,SUMPRODUCT((W48:W$65)*($M48:$M$65)*($C48:L$65=$B47)),IF(NOT(ISNUMBER(Data!P45)),0,ABS(($F47*100)-(Data!P45-$I47)*$K47)),ABS(($F47*100)-(Data!P45-$G47)*$K47))</f>
        <v>47.2140762463343</v>
      </c>
      <c r="X47" s="64">
        <f>CHOOSE($E47,SUMPRODUCT((X48:X$65)*($M48:$M$65)*($C48:M$65=$B47)),IF(NOT(ISNUMBER(Data!Q45)),0,ABS(($F47*100)-(Data!Q45-$I47)*$K47)),ABS(($F47*100)-(Data!Q45-$G47)*$K47))</f>
        <v>63.6363636363636</v>
      </c>
      <c r="Y47" s="64">
        <f>CHOOSE($E47,SUMPRODUCT((Y48:Y$65)*($M48:$M$65)*($C48:N$65=$B47)),IF(NOT(ISNUMBER(Data!R45)),0,ABS(($F47*100)-(Data!R45-$I47)*$K47)),ABS(($F47*100)-(Data!R45-$G47)*$K47))</f>
        <v>0</v>
      </c>
      <c r="Z47" s="64">
        <f>CHOOSE($E47,SUMPRODUCT((Z48:Z$65)*($M48:$M$65)*($C48:O$65=$B47)),IF(NOT(ISNUMBER(Data!S45)),0,ABS(($F47*100)-(Data!S45-$I47)*$K47)),ABS(($F47*100)-(Data!S45-$G47)*$K47))</f>
        <v>79.4721407624633</v>
      </c>
      <c r="AA47" s="64">
        <f>CHOOSE($E47,SUMPRODUCT((AA48:AA$65)*($M48:$M$65)*($C48:P$65=$B47)),IF(NOT(ISNUMBER(Data!T45)),0,ABS(($F47*100)-(Data!T45-$I47)*$K47)),ABS(($F47*100)-(Data!T45-$G47)*$K47))</f>
        <v>47.2140762463343</v>
      </c>
      <c r="AB47" s="64">
        <f>CHOOSE($E47,SUMPRODUCT((AB48:AB$65)*($M48:$M$65)*($C48:Q$65=$B47)),IF(NOT(ISNUMBER(Data!U45)),0,ABS(($F47*100)-(Data!U45-$I47)*$K47)),ABS(($F47*100)-(Data!U45-$G47)*$K47))</f>
        <v>47.2140762463343</v>
      </c>
      <c r="AC47" s="64">
        <f>CHOOSE($E47,SUMPRODUCT((AC48:AC$65)*($M48:$M$65)*($C48:R$65=$B47)),IF(NOT(ISNUMBER(Data!V45)),0,ABS(($F47*100)-(Data!V45-$I47)*$K47)),ABS(($F47*100)-(Data!V45-$G47)*$K47))</f>
        <v>68.9149560117302</v>
      </c>
      <c r="AD47" s="64">
        <f>CHOOSE($E47,SUMPRODUCT((AD48:AD$65)*($M48:$M$65)*($C48:S$65=$B47)),IF(NOT(ISNUMBER(Data!W45)),0,ABS(($F47*100)-(Data!W45-$I47)*$K47)),ABS(($F47*100)-(Data!W45-$G47)*$K47))</f>
        <v>68.9149560117302</v>
      </c>
      <c r="AE47" s="64">
        <f>CHOOSE($E47,SUMPRODUCT((AE48:AE$65)*($M48:$M$65)*($C48:T$65=$B47)),IF(NOT(ISNUMBER(Data!X45)),0,ABS(($F47*100)-(Data!X45-$I47)*$K47)),ABS(($F47*100)-(Data!X45-$G47)*$K47))</f>
        <v>53.0791788856305</v>
      </c>
      <c r="AF47" s="64">
        <f>CHOOSE($E47,SUMPRODUCT((AF48:AF$65)*($M48:$M$65)*($C48:U$65=$B47)),IF(NOT(ISNUMBER(Data!Y45)),0,ABS(($F47*100)-(Data!Y45-$I47)*$K47)),ABS(($F47*100)-(Data!Y45-$G47)*$K47))</f>
        <v>20.5278592375366</v>
      </c>
      <c r="AG47" s="64">
        <f>CHOOSE($E47,SUMPRODUCT((AG48:AG$65)*($M48:$M$65)*($C48:V$65=$B47)),IF(NOT(ISNUMBER(Data!Z45)),0,ABS(($F47*100)-(Data!Z45-$I47)*$K47)),ABS(($F47*100)-(Data!Z45-$G47)*$K47))</f>
        <v>20.5278592375366</v>
      </c>
      <c r="AH47" s="64">
        <f>CHOOSE($E47,SUMPRODUCT((AH48:AH$65)*($M48:$M$65)*($C48:W$65=$B47)),IF(NOT(ISNUMBER(Data!AA45)),0,ABS(($F47*100)-(Data!AA45-$I47)*$K47)),ABS(($F47*100)-(Data!AA45-$G47)*$K47))</f>
        <v>20.5278592375366</v>
      </c>
      <c r="AI47" s="64">
        <f>CHOOSE($E47,SUMPRODUCT((AI48:AI$65)*($M48:$M$65)*($C48:X$65=$B47)),IF(NOT(ISNUMBER(Data!AB45)),0,ABS(($F47*100)-(Data!AB45-$I47)*$K47)),ABS(($F47*100)-(Data!AB45-$G47)*$K47))</f>
        <v>20.5278592375366</v>
      </c>
      <c r="AJ47" s="64">
        <f>CHOOSE($E47,SUMPRODUCT((AJ48:AJ$65)*($M48:$M$65)*($C48:Y$65=$B47)),IF(NOT(ISNUMBER(Data!AC45)),0,ABS(($F47*100)-(Data!AC45-$I47)*$K47)),ABS(($F47*100)-(Data!AC45-$G47)*$K47))</f>
        <v>20.5278592375366</v>
      </c>
      <c r="AK47" s="64">
        <f>CHOOSE($E47,SUMPRODUCT((AK48:AK$65)*($M48:$M$65)*($C48:Z$65=$B47)),IF(NOT(ISNUMBER(Data!AD45)),0,ABS(($F47*100)-(Data!AD45-$I47)*$K47)),ABS(($F47*100)-(Data!AD45-$G47)*$K47))</f>
        <v>19.6480938416422</v>
      </c>
      <c r="AL47" s="64">
        <f>CHOOSE($E47,SUMPRODUCT((AL48:AL$65)*($M48:$M$65)*($C48:AA$65=$B47)),IF(NOT(ISNUMBER(Data!AE45)),0,ABS(($F47*100)-(Data!AE45-$I47)*$K47)),ABS(($F47*100)-(Data!AE45-$G47)*$K47))</f>
        <v>19.6480938416422</v>
      </c>
      <c r="AM47" s="64">
        <f>CHOOSE($E47,SUMPRODUCT((AM48:AM$65)*($M48:$M$65)*($C48:AB$65=$B47)),IF(NOT(ISNUMBER(Data!AF45)),0,ABS(($F47*100)-(Data!AF45-$I47)*$K47)),ABS(($F47*100)-(Data!AF45-$G47)*$K47))</f>
        <v>38.41642228739</v>
      </c>
      <c r="AN47" s="64">
        <f>CHOOSE($E47,SUMPRODUCT((AN48:AN$65)*($M48:$M$65)*($C48:AC$65=$B47)),IF(NOT(ISNUMBER(Data!AG45)),0,ABS(($F47*100)-(Data!AG45-$I47)*$K47)),ABS(($F47*100)-(Data!AG45-$G47)*$K47))</f>
        <v>61.8768328445748</v>
      </c>
      <c r="AO47" s="64">
        <f>CHOOSE($E47,SUMPRODUCT((AO48:AO$65)*($M48:$M$65)*($C48:AD$65=$B47)),IF(NOT(ISNUMBER(Data!AH45)),0,ABS(($F47*100)-(Data!AH45-$I47)*$K47)),ABS(($F47*100)-(Data!AH45-$G47)*$K47))</f>
        <v>59.8240469208211</v>
      </c>
      <c r="AP47" s="64">
        <f>CHOOSE($E47,SUMPRODUCT((AP48:AP$65)*($M48:$M$65)*($C48:AE$65=$B47)),IF(NOT(ISNUMBER(Data!AI45)),0,ABS(($F47*100)-(Data!AI45-$I47)*$K47)),ABS(($F47*100)-(Data!AI45-$G47)*$K47))</f>
        <v>59.8240469208211</v>
      </c>
      <c r="AQ47" s="64">
        <f>CHOOSE($E47,SUMPRODUCT((AQ48:AQ$65)*($M48:$M$65)*($C48:AF$65=$B47)),IF(NOT(ISNUMBER(Data!AJ45)),0,ABS(($F47*100)-(Data!AJ45-$I47)*$K47)),ABS(($F47*100)-(Data!AJ45-$G47)*$K47))</f>
        <v>29.6187683284458</v>
      </c>
      <c r="AR47" s="64">
        <f>CHOOSE($E47,SUMPRODUCT((AR48:AR$65)*($M48:$M$65)*($C48:AG$65=$B47)),IF(NOT(ISNUMBER(Data!AK45)),0,ABS(($F47*100)-(Data!AK45-$I47)*$K47)),ABS(($F47*100)-(Data!AK45-$G47)*$K47))</f>
        <v>61.8768328445748</v>
      </c>
      <c r="AS47" s="64">
        <f>CHOOSE($E47,SUMPRODUCT((AS48:AS$65)*($M48:$M$65)*($C48:AH$65=$B47)),IF(NOT(ISNUMBER(Data!AL45)),0,ABS(($F47*100)-(Data!AL45-$I47)*$K47)),ABS(($F47*100)-(Data!AL45-$G47)*$K47))</f>
        <v>100</v>
      </c>
      <c r="AT47" s="64">
        <f>CHOOSE($E47,SUMPRODUCT((AT48:AT$65)*($M48:$M$65)*($C48:AI$65=$B47)),IF(NOT(ISNUMBER(Data!AM45)),0,ABS(($F47*100)-(Data!AM45-$I47)*$K47)),ABS(($F47*100)-(Data!AM45-$G47)*$K47))</f>
        <v>26.6862170087977</v>
      </c>
      <c r="AU47" s="64">
        <f>CHOOSE($E47,SUMPRODUCT((AU48:AU$65)*($M48:$M$65)*($C48:AJ$65=$B47)),IF(NOT(ISNUMBER(Data!AN45)),0,ABS(($F47*100)-(Data!AN45-$I47)*$K47)),ABS(($F47*100)-(Data!AN45-$G47)*$K47))</f>
        <v>2.63929618768327</v>
      </c>
      <c r="AV47" s="64">
        <f>CHOOSE($E47,SUMPRODUCT((AV48:AV$65)*($M48:$M$65)*($C48:AK$65=$B47)),IF(NOT(ISNUMBER(Data!AO45)),0,ABS(($F47*100)-(Data!AO45-$I47)*$K47)),ABS(($F47*100)-(Data!AO45-$G47)*$K47))</f>
        <v>91.2023460410557</v>
      </c>
      <c r="AW47" s="64">
        <f>CHOOSE($E47,SUMPRODUCT((AW48:AW$65)*($M48:$M$65)*($C48:AL$65=$B47)),IF(NOT(ISNUMBER(Data!AP45)),0,ABS(($F47*100)-(Data!AP45-$I47)*$K47)),ABS(($F47*100)-(Data!AP45-$G47)*$K47))</f>
        <v>48.6803519061584</v>
      </c>
      <c r="AX47" s="64">
        <f>CHOOSE($E47,SUMPRODUCT((AX48:AX$65)*($M48:$M$65)*($C48:AM$65=$B47)),IF(NOT(ISNUMBER(Data!AQ45)),0,ABS(($F47*100)-(Data!AQ45-$I47)*$K47)),ABS(($F47*100)-(Data!AQ45-$G47)*$K47))</f>
        <v>53.0791788856305</v>
      </c>
      <c r="AY47" s="64">
        <f>CHOOSE($E47,SUMPRODUCT((AY48:AY$65)*($M48:$M$65)*($C48:AN$65=$B47)),IF(NOT(ISNUMBER(Data!AR45)),0,ABS(($F47*100)-(Data!AR45-$I47)*$K47)),ABS(($F47*100)-(Data!AR45-$G47)*$K47))</f>
        <v>48.6803519061584</v>
      </c>
      <c r="AZ47" s="64">
        <f>CHOOSE($E47,SUMPRODUCT((AZ48:AZ$65)*($M48:$M$65)*($C48:AO$65=$B47)),IF(NOT(ISNUMBER(Data!AS45)),0,ABS(($F47*100)-(Data!AS45-$I47)*$K47)),ABS(($F47*100)-(Data!AS45-$G47)*$K47))</f>
        <v>42.5219941348974</v>
      </c>
      <c r="BA47" s="64">
        <f>CHOOSE($E47,SUMPRODUCT((BA48:BA$65)*($M48:$M$65)*($C48:AP$65=$B47)),IF(NOT(ISNUMBER(Data!AT45)),0,ABS(($F47*100)-(Data!AT45-$I47)*$K47)),ABS(($F47*100)-(Data!AT45-$G47)*$K47))</f>
        <v>49.8533724340176</v>
      </c>
      <c r="BB47" s="64">
        <f>CHOOSE($E47,SUMPRODUCT((BB48:BB$65)*($M48:$M$65)*($C48:AQ$65=$B47)),IF(NOT(ISNUMBER(Data!AU45)),0,ABS(($F47*100)-(Data!AU45-$I47)*$K47)),ABS(($F47*100)-(Data!AU45-$G47)*$K47))</f>
        <v>48.3870967741935</v>
      </c>
      <c r="BC47" s="64">
        <f>CHOOSE($E47,SUMPRODUCT((BC48:BC$65)*($M48:$M$65)*($C48:AR$65=$B47)),IF(NOT(ISNUMBER(Data!AV45)),0,ABS(($F47*100)-(Data!AV45-$I47)*$K47)),ABS(($F47*100)-(Data!AV45-$G47)*$K47))</f>
        <v>22.5806451612903</v>
      </c>
      <c r="BD47" s="64">
        <f>CHOOSE($E47,SUMPRODUCT((BD48:BD$65)*($M48:$M$65)*($C48:AS$65=$B47)),IF(NOT(ISNUMBER(Data!AW45)),0,ABS(($F47*100)-(Data!AW45-$I47)*$K47)),ABS(($F47*100)-(Data!AW45-$G47)*$K47))</f>
        <v>22.5806451612903</v>
      </c>
      <c r="BE47" s="64">
        <f>CHOOSE($E47,SUMPRODUCT((BE48:BE$65)*($M48:$M$65)*($C48:AT$65=$B47)),IF(NOT(ISNUMBER(Data!AX45)),0,ABS(($F47*100)-(Data!AX45-$I47)*$K47)),ABS(($F47*100)-(Data!AX45-$G47)*$K47))</f>
        <v>61.8768328445748</v>
      </c>
      <c r="BF47" s="64">
        <f>CHOOSE($E47,SUMPRODUCT((BF48:BF$65)*($M48:$M$65)*($C48:AU$65=$B47)),IF(NOT(ISNUMBER(Data!AY45)),0,ABS(($F47*100)-(Data!AY45-$I47)*$K47)),ABS(($F47*100)-(Data!AY45-$G47)*$K47))</f>
        <v>0.293255131964813</v>
      </c>
      <c r="BG47" s="64">
        <f>CHOOSE($E47,SUMPRODUCT((BG48:BG$65)*($M48:$M$65)*($C48:AV$65=$B47)),IF(NOT(ISNUMBER(Data!AZ45)),0,ABS(($F47*100)-(Data!AZ45-$I47)*$K47)),ABS(($F47*100)-(Data!AZ45-$G47)*$K47))</f>
        <v>25.8064516129032</v>
      </c>
      <c r="BH47" s="64">
        <f>CHOOSE($E47,SUMPRODUCT((BH48:BH$65)*($M48:$M$65)*($C48:AW$65=$B47)),IF(NOT(ISNUMBER(Data!BA45)),0,ABS(($F47*100)-(Data!BA45-$I47)*$K47)),ABS(($F47*100)-(Data!BA45-$G47)*$K47))</f>
        <v>25.8064516129032</v>
      </c>
      <c r="BI47" s="64">
        <f>CHOOSE($E47,SUMPRODUCT((BI48:BI$65)*($M48:$M$65)*($C48:AX$65=$B47)),IF(NOT(ISNUMBER(Data!BB45)),0,ABS(($F47*100)-(Data!BB45-$I47)*$K47)),ABS(($F47*100)-(Data!BB45-$G47)*$K47))</f>
        <v>93.5483870967742</v>
      </c>
      <c r="BJ47" s="64">
        <f>CHOOSE($E47,SUMPRODUCT((BJ48:BJ$65)*($M48:$M$65)*($C48:AY$65=$B47)),IF(NOT(ISNUMBER(Data!BC45)),0,ABS(($F47*100)-(Data!BC45-$I47)*$K47)),ABS(($F47*100)-(Data!BC45-$G47)*$K47))</f>
        <v>67.741935483871</v>
      </c>
      <c r="BK47" s="64">
        <f>CHOOSE($E47,SUMPRODUCT((BK48:BK$65)*($M48:$M$65)*($C48:AZ$65=$B47)),IF(NOT(ISNUMBER(Data!BD45)),0,ABS(($F47*100)-(Data!BD45-$I47)*$K47)),ABS(($F47*100)-(Data!BD45-$G47)*$K47))</f>
        <v>35.1906158357771</v>
      </c>
      <c r="BM47" s="65"/>
    </row>
    <row r="48" spans="1:65">
      <c r="A48" s="24"/>
      <c r="B48" s="24" t="str">
        <f>tblIndicators!B41</f>
        <v>PERSAF</v>
      </c>
      <c r="C48" s="24" t="str">
        <f>tblIndicators!C41</f>
        <v>TOTAL</v>
      </c>
      <c r="D48" s="52">
        <f>tblIndicators!D41</f>
        <v>1</v>
      </c>
      <c r="E48" s="52">
        <f>tblIndicators!M41</f>
        <v>1</v>
      </c>
      <c r="F48" s="52">
        <f>tblIndicators!N41</f>
        <v>0</v>
      </c>
      <c r="G48" s="52">
        <f>tblIndicators!Q41</f>
        <v>0</v>
      </c>
      <c r="H48" s="52">
        <f>tblIndicators!R41</f>
        <v>0</v>
      </c>
      <c r="I48" s="52" t="str">
        <f>IF($E48=2,MIN(Data!G46:BD46),"")</f>
        <v/>
      </c>
      <c r="J48" s="52" t="str">
        <f>IF($E48=2,MAX(Data!G46:BD46),"")</f>
        <v/>
      </c>
      <c r="K48" s="54" t="str">
        <f t="shared" si="3"/>
        <v/>
      </c>
      <c r="L48" s="55" t="str">
        <f>tblIndicators!Z41</f>
        <v>4) PERSONAL SAFETY</v>
      </c>
      <c r="M48" s="56">
        <f>tblIndicators!AC41</f>
        <v>0.25</v>
      </c>
      <c r="N48" s="57">
        <f>IF(uxbWorks!$E$9=1,N57/N49,CHOOSE($E48,SUMPRODUCT((N49:N$65)*($M49:$M$65)*($C49:C$65=$B48)),IF(NOT(ISNUMBER(Data!G46)),0,ABS(($F48*100)-(Data!G46-$I48)*$K48)),ABS(($F48*100)-(Data!G46-$G48)*$K48)))</f>
        <v>87.5075908900189</v>
      </c>
      <c r="O48" s="57">
        <f>IF(uxbWorks!$E$9=1,O57/O49,CHOOSE($E48,SUMPRODUCT((O49:O$65)*($M49:$M$65)*($C49:D$65=$B48)),IF(NOT(ISNUMBER(Data!H46)),0,ABS(($F48*100)-(Data!H46-$I48)*$K48)),ABS(($F48*100)-(Data!H46-$G48)*$K48)))</f>
        <v>61.2890422147959</v>
      </c>
      <c r="P48" s="57">
        <f>IF(uxbWorks!$E$9=1,P57/P49,CHOOSE($E48,SUMPRODUCT((P49:P$65)*($M49:$M$65)*($C49:E$65=$B48)),IF(NOT(ISNUMBER(Data!I46)),0,ABS(($F48*100)-(Data!I46-$I48)*$K48)),ABS(($F48*100)-(Data!I46-$G48)*$K48)))</f>
        <v>62.2485463278056</v>
      </c>
      <c r="Q48" s="57">
        <f>IF(uxbWorks!$E$9=1,Q57/Q49,CHOOSE($E48,SUMPRODUCT((Q49:Q$65)*($M49:$M$65)*($C49:F$65=$B48)),IF(NOT(ISNUMBER(Data!J46)),0,ABS(($F48*100)-(Data!J46-$I48)*$K48)),ABS(($F48*100)-(Data!J46-$G48)*$K48)))</f>
        <v>57.5943526234152</v>
      </c>
      <c r="R48" s="57">
        <f>IF(uxbWorks!$E$9=1,R57/R49,CHOOSE($E48,SUMPRODUCT((R49:R$65)*($M49:$M$65)*($C49:G$65=$B48)),IF(NOT(ISNUMBER(Data!K46)),0,ABS(($F48*100)-(Data!K46-$I48)*$K48)),ABS(($F48*100)-(Data!K46-$G48)*$K48)))</f>
        <v>67.4462250800337</v>
      </c>
      <c r="S48" s="57">
        <f>IF(uxbWorks!$E$9=1,S57/S49,CHOOSE($E48,SUMPRODUCT((S49:S$65)*($M49:$M$65)*($C49:H$65=$B48)),IF(NOT(ISNUMBER(Data!L46)),0,ABS(($F48*100)-(Data!L46-$I48)*$K48)),ABS(($F48*100)-(Data!L46-$G48)*$K48)))</f>
        <v>71.6589953511763</v>
      </c>
      <c r="T48" s="57">
        <f>IF(uxbWorks!$E$9=1,T57/T49,CHOOSE($E48,SUMPRODUCT((T49:T$65)*($M49:$M$65)*($C49:I$65=$B48)),IF(NOT(ISNUMBER(Data!M46)),0,ABS(($F48*100)-(Data!M46-$I48)*$K48)),ABS(($F48*100)-(Data!M46-$G48)*$K48)))</f>
        <v>72.9565622286056</v>
      </c>
      <c r="U48" s="57">
        <f>IF(uxbWorks!$E$9=1,U57/U49,CHOOSE($E48,SUMPRODUCT((U49:U$65)*($M49:$M$65)*($C49:J$65=$B48)),IF(NOT(ISNUMBER(Data!N46)),0,ABS(($F48*100)-(Data!N46-$I48)*$K48)),ABS(($F48*100)-(Data!N46-$G48)*$K48)))</f>
        <v>84.8196791875344</v>
      </c>
      <c r="V48" s="57">
        <f>IF(uxbWorks!$E$9=1,V57/V49,CHOOSE($E48,SUMPRODUCT((V49:V$65)*($M49:$M$65)*($C49:K$65=$B48)),IF(NOT(ISNUMBER(Data!O46)),0,ABS(($F48*100)-(Data!O46-$I48)*$K48)),ABS(($F48*100)-(Data!O46-$G48)*$K48)))</f>
        <v>68.4819154832155</v>
      </c>
      <c r="W48" s="57">
        <f>IF(uxbWorks!$E$9=1,W57/W49,CHOOSE($E48,SUMPRODUCT((W49:W$65)*($M49:$M$65)*($C49:L$65=$B48)),IF(NOT(ISNUMBER(Data!P46)),0,ABS(($F48*100)-(Data!P46-$I48)*$K48)),ABS(($F48*100)-(Data!P46-$G48)*$K48)))</f>
        <v>71.2663173884108</v>
      </c>
      <c r="X48" s="57">
        <f>IF(uxbWorks!$E$9=1,X57/X49,CHOOSE($E48,SUMPRODUCT((X49:X$65)*($M49:$M$65)*($C49:M$65=$B48)),IF(NOT(ISNUMBER(Data!Q46)),0,ABS(($F48*100)-(Data!Q46-$I48)*$K48)),ABS(($F48*100)-(Data!Q46-$G48)*$K48)))</f>
        <v>62.0665268470903</v>
      </c>
      <c r="Y48" s="57">
        <f>IF(uxbWorks!$E$9=1,Y57/Y49,CHOOSE($E48,SUMPRODUCT((Y49:Y$65)*($M49:$M$65)*($C49:N$65=$B48)),IF(NOT(ISNUMBER(Data!R46)),0,ABS(($F48*100)-(Data!R46-$I48)*$K48)),ABS(($F48*100)-(Data!R46-$G48)*$K48)))</f>
        <v>74.8104299338869</v>
      </c>
      <c r="Z48" s="57">
        <f>IF(uxbWorks!$E$9=1,Z57/Z49,CHOOSE($E48,SUMPRODUCT((Z49:Z$65)*($M49:$M$65)*($C49:O$65=$B48)),IF(NOT(ISNUMBER(Data!S46)),0,ABS(($F48*100)-(Data!S46-$I48)*$K48)),ABS(($F48*100)-(Data!S46-$G48)*$K48)))</f>
        <v>53.578070092734</v>
      </c>
      <c r="AA48" s="57">
        <f>IF(uxbWorks!$E$9=1,AA57/AA49,CHOOSE($E48,SUMPRODUCT((AA49:AA$65)*($M49:$M$65)*($C49:P$65=$B48)),IF(NOT(ISNUMBER(Data!T46)),0,ABS(($F48*100)-(Data!T46-$I48)*$K48)),ABS(($F48*100)-(Data!T46-$G48)*$K48)))</f>
        <v>69.4458649129266</v>
      </c>
      <c r="AB48" s="57">
        <f>IF(uxbWorks!$E$9=1,AB57/AB49,CHOOSE($E48,SUMPRODUCT((AB49:AB$65)*($M49:$M$65)*($C49:Q$65=$B48)),IF(NOT(ISNUMBER(Data!U46)),0,ABS(($F48*100)-(Data!U46-$I48)*$K48)),ABS(($F48*100)-(Data!U46-$G48)*$K48)))</f>
        <v>73.9457494752663</v>
      </c>
      <c r="AC48" s="57">
        <f>IF(uxbWorks!$E$9=1,AC57/AC49,CHOOSE($E48,SUMPRODUCT((AC49:AC$65)*($M49:$M$65)*($C49:R$65=$B48)),IF(NOT(ISNUMBER(Data!V46)),0,ABS(($F48*100)-(Data!V46-$I48)*$K48)),ABS(($F48*100)-(Data!V46-$G48)*$K48)))</f>
        <v>80.4043707045524</v>
      </c>
      <c r="AD48" s="57">
        <f>IF(uxbWorks!$E$9=1,AD57/AD49,CHOOSE($E48,SUMPRODUCT((AD49:AD$65)*($M49:$M$65)*($C49:S$65=$B48)),IF(NOT(ISNUMBER(Data!W46)),0,ABS(($F48*100)-(Data!W46-$I48)*$K48)),ABS(($F48*100)-(Data!W46-$G48)*$K48)))</f>
        <v>82.7189938769868</v>
      </c>
      <c r="AE48" s="57">
        <f>IF(uxbWorks!$E$9=1,AE57/AE49,CHOOSE($E48,SUMPRODUCT((AE49:AE$65)*($M49:$M$65)*($C49:T$65=$B48)),IF(NOT(ISNUMBER(Data!X46)),0,ABS(($F48*100)-(Data!X46-$I48)*$K48)),ABS(($F48*100)-(Data!X46-$G48)*$K48)))</f>
        <v>85.092498217964</v>
      </c>
      <c r="AF48" s="57">
        <f>IF(uxbWorks!$E$9=1,AF57/AF49,CHOOSE($E48,SUMPRODUCT((AF49:AF$65)*($M49:$M$65)*($C49:U$65=$B48)),IF(NOT(ISNUMBER(Data!Y46)),0,ABS(($F48*100)-(Data!Y46-$I48)*$K48)),ABS(($F48*100)-(Data!Y46-$G48)*$K48)))</f>
        <v>55.5085177045794</v>
      </c>
      <c r="AG48" s="57">
        <f>IF(uxbWorks!$E$9=1,AG57/AG49,CHOOSE($E48,SUMPRODUCT((AG49:AG$65)*($M49:$M$65)*($C49:V$65=$B48)),IF(NOT(ISNUMBER(Data!Z46)),0,ABS(($F48*100)-(Data!Z46-$I48)*$K48)),ABS(($F48*100)-(Data!Z46-$G48)*$K48)))</f>
        <v>67.6564516746791</v>
      </c>
      <c r="AH48" s="57">
        <f>IF(uxbWorks!$E$9=1,AH57/AH49,CHOOSE($E48,SUMPRODUCT((AH49:AH$65)*($M49:$M$65)*($C49:W$65=$B48)),IF(NOT(ISNUMBER(Data!AA46)),0,ABS(($F48*100)-(Data!AA46-$I48)*$K48)),ABS(($F48*100)-(Data!AA46-$G48)*$K48)))</f>
        <v>61.9640451132173</v>
      </c>
      <c r="AI48" s="57">
        <f>IF(uxbWorks!$E$9=1,AI57/AI49,CHOOSE($E48,SUMPRODUCT((AI49:AI$65)*($M49:$M$65)*($C49:X$65=$B48)),IF(NOT(ISNUMBER(Data!AB46)),0,ABS(($F48*100)-(Data!AB46-$I48)*$K48)),ABS(($F48*100)-(Data!AB46-$G48)*$K48)))</f>
        <v>59.3654695318219</v>
      </c>
      <c r="AJ48" s="57">
        <f>IF(uxbWorks!$E$9=1,AJ57/AJ49,CHOOSE($E48,SUMPRODUCT((AJ49:AJ$65)*($M49:$M$65)*($C49:Y$65=$B48)),IF(NOT(ISNUMBER(Data!AC46)),0,ABS(($F48*100)-(Data!AC46-$I48)*$K48)),ABS(($F48*100)-(Data!AC46-$G48)*$K48)))</f>
        <v>62.4573445318219</v>
      </c>
      <c r="AK48" s="57">
        <f>IF(uxbWorks!$E$9=1,AK57/AK49,CHOOSE($E48,SUMPRODUCT((AK49:AK$65)*($M49:$M$65)*($C49:Z$65=$B48)),IF(NOT(ISNUMBER(Data!AD46)),0,ABS(($F48*100)-(Data!AD46-$I48)*$K48)),ABS(($F48*100)-(Data!AD46-$G48)*$K48)))</f>
        <v>73.6133579796782</v>
      </c>
      <c r="AL48" s="57">
        <f>IF(uxbWorks!$E$9=1,AL57/AL49,CHOOSE($E48,SUMPRODUCT((AL49:AL$65)*($M49:$M$65)*($C49:AA$65=$B48)),IF(NOT(ISNUMBER(Data!AE46)),0,ABS(($F48*100)-(Data!AE46-$I48)*$K48)),ABS(($F48*100)-(Data!AE46-$G48)*$K48)))</f>
        <v>72.6993817735104</v>
      </c>
      <c r="AM48" s="57">
        <f>IF(uxbWorks!$E$9=1,AM57/AM49,CHOOSE($E48,SUMPRODUCT((AM49:AM$65)*($M49:$M$65)*($C49:AB$65=$B48)),IF(NOT(ISNUMBER(Data!AF46)),0,ABS(($F48*100)-(Data!AF46-$I48)*$K48)),ABS(($F48*100)-(Data!AF46-$G48)*$K48)))</f>
        <v>59.2337308763847</v>
      </c>
      <c r="AN48" s="57">
        <f>IF(uxbWorks!$E$9=1,AN57/AN49,CHOOSE($E48,SUMPRODUCT((AN49:AN$65)*($M49:$M$65)*($C49:AC$65=$B48)),IF(NOT(ISNUMBER(Data!AG46)),0,ABS(($F48*100)-(Data!AG46-$I48)*$K48)),ABS(($F48*100)-(Data!AG46-$G48)*$K48)))</f>
        <v>56.3526403313368</v>
      </c>
      <c r="AO48" s="57">
        <f>IF(uxbWorks!$E$9=1,AO57/AO49,CHOOSE($E48,SUMPRODUCT((AO49:AO$65)*($M49:$M$65)*($C49:AD$65=$B48)),IF(NOT(ISNUMBER(Data!AH46)),0,ABS(($F48*100)-(Data!AH46-$I48)*$K48)),ABS(($F48*100)-(Data!AH46-$G48)*$K48)))</f>
        <v>89.3077184815305</v>
      </c>
      <c r="AP48" s="57">
        <f>IF(uxbWorks!$E$9=1,AP57/AP49,CHOOSE($E48,SUMPRODUCT((AP49:AP$65)*($M49:$M$65)*($C49:AE$65=$B48)),IF(NOT(ISNUMBER(Data!AI46)),0,ABS(($F48*100)-(Data!AI46-$I48)*$K48)),ABS(($F48*100)-(Data!AI46-$G48)*$K48)))</f>
        <v>90.1976332016698</v>
      </c>
      <c r="AQ48" s="57">
        <f>IF(uxbWorks!$E$9=1,AQ57/AQ49,CHOOSE($E48,SUMPRODUCT((AQ49:AQ$65)*($M49:$M$65)*($C49:AF$65=$B48)),IF(NOT(ISNUMBER(Data!AJ46)),0,ABS(($F48*100)-(Data!AJ46-$I48)*$K48)),ABS(($F48*100)-(Data!AJ46-$G48)*$K48)))</f>
        <v>90.4204325216169</v>
      </c>
      <c r="AR48" s="57">
        <f>IF(uxbWorks!$E$9=1,AR57/AR49,CHOOSE($E48,SUMPRODUCT((AR49:AR$65)*($M49:$M$65)*($C49:AG$65=$B48)),IF(NOT(ISNUMBER(Data!AK46)),0,ABS(($F48*100)-(Data!AK46-$I48)*$K48)),ABS(($F48*100)-(Data!AK46-$G48)*$K48)))</f>
        <v>73.6187065872501</v>
      </c>
      <c r="AS48" s="57">
        <f>IF(uxbWorks!$E$9=1,AS57/AS49,CHOOSE($E48,SUMPRODUCT((AS49:AS$65)*($M49:$M$65)*($C49:AH$65=$B48)),IF(NOT(ISNUMBER(Data!AL46)),0,ABS(($F48*100)-(Data!AL46-$I48)*$K48)),ABS(($F48*100)-(Data!AL46-$G48)*$K48)))</f>
        <v>85.672674680631</v>
      </c>
      <c r="AT48" s="57">
        <f>IF(uxbWorks!$E$9=1,AT57/AT49,CHOOSE($E48,SUMPRODUCT((AT49:AT$65)*($M49:$M$65)*($C49:AI$65=$B48)),IF(NOT(ISNUMBER(Data!AM46)),0,ABS(($F48*100)-(Data!AM46-$I48)*$K48)),ABS(($F48*100)-(Data!AM46-$G48)*$K48)))</f>
        <v>70.9716527543637</v>
      </c>
      <c r="AU48" s="57">
        <f>IF(uxbWorks!$E$9=1,AU57/AU49,CHOOSE($E48,SUMPRODUCT((AU49:AU$65)*($M49:$M$65)*($C49:AJ$65=$B48)),IF(NOT(ISNUMBER(Data!AN46)),0,ABS(($F48*100)-(Data!AN46-$I48)*$K48)),ABS(($F48*100)-(Data!AN46-$G48)*$K48)))</f>
        <v>65.6152217902494</v>
      </c>
      <c r="AV48" s="57">
        <f>IF(uxbWorks!$E$9=1,AV57/AV49,CHOOSE($E48,SUMPRODUCT((AV49:AV$65)*($M49:$M$65)*($C49:AK$65=$B48)),IF(NOT(ISNUMBER(Data!AO46)),0,ABS(($F48*100)-(Data!AO46-$I48)*$K48)),ABS(($F48*100)-(Data!AO46-$G48)*$K48)))</f>
        <v>59.4743159769209</v>
      </c>
      <c r="AW48" s="57">
        <f>IF(uxbWorks!$E$9=1,AW57/AW49,CHOOSE($E48,SUMPRODUCT((AW49:AW$65)*($M49:$M$65)*($C49:AL$65=$B48)),IF(NOT(ISNUMBER(Data!AP46)),0,ABS(($F48*100)-(Data!AP46-$I48)*$K48)),ABS(($F48*100)-(Data!AP46-$G48)*$K48)))</f>
        <v>76.4069440337718</v>
      </c>
      <c r="AX48" s="57">
        <f>IF(uxbWorks!$E$9=1,AX57/AX49,CHOOSE($E48,SUMPRODUCT((AX49:AX$65)*($M49:$M$65)*($C49:AM$65=$B48)),IF(NOT(ISNUMBER(Data!AQ46)),0,ABS(($F48*100)-(Data!AQ46-$I48)*$K48)),ABS(($F48*100)-(Data!AQ46-$G48)*$K48)))</f>
        <v>60.2635770116779</v>
      </c>
      <c r="AY48" s="57">
        <f>IF(uxbWorks!$E$9=1,AY57/AY49,CHOOSE($E48,SUMPRODUCT((AY49:AY$65)*($M49:$M$65)*($C49:AN$65=$B48)),IF(NOT(ISNUMBER(Data!AR46)),0,ABS(($F48*100)-(Data!AR46-$I48)*$K48)),ABS(($F48*100)-(Data!AR46-$G48)*$K48)))</f>
        <v>67.3859010532171</v>
      </c>
      <c r="AZ48" s="57">
        <f>IF(uxbWorks!$E$9=1,AZ57/AZ49,CHOOSE($E48,SUMPRODUCT((AZ49:AZ$65)*($M49:$M$65)*($C49:AO$65=$B48)),IF(NOT(ISNUMBER(Data!AS46)),0,ABS(($F48*100)-(Data!AS46-$I48)*$K48)),ABS(($F48*100)-(Data!AS46-$G48)*$K48)))</f>
        <v>60.3076263003581</v>
      </c>
      <c r="BA48" s="57">
        <f>IF(uxbWorks!$E$9=1,BA57/BA49,CHOOSE($E48,SUMPRODUCT((BA49:BA$65)*($M49:$M$65)*($C49:AP$65=$B48)),IF(NOT(ISNUMBER(Data!AT46)),0,ABS(($F48*100)-(Data!AT46-$I48)*$K48)),ABS(($F48*100)-(Data!AT46-$G48)*$K48)))</f>
        <v>71.2862012760949</v>
      </c>
      <c r="BB48" s="57">
        <f>IF(uxbWorks!$E$9=1,BB57/BB49,CHOOSE($E48,SUMPRODUCT((BB49:BB$65)*($M49:$M$65)*($C49:AQ$65=$B48)),IF(NOT(ISNUMBER(Data!AU46)),0,ABS(($F48*100)-(Data!AU46-$I48)*$K48)),ABS(($F48*100)-(Data!AU46-$G48)*$K48)))</f>
        <v>74.5653420782261</v>
      </c>
      <c r="BC48" s="57">
        <f>IF(uxbWorks!$E$9=1,BC57/BC49,CHOOSE($E48,SUMPRODUCT((BC49:BC$65)*($M49:$M$65)*($C49:AR$65=$B48)),IF(NOT(ISNUMBER(Data!AV46)),0,ABS(($F48*100)-(Data!AV46-$I48)*$K48)),ABS(($F48*100)-(Data!AV46-$G48)*$K48)))</f>
        <v>60.9402486286501</v>
      </c>
      <c r="BD48" s="57">
        <f>IF(uxbWorks!$E$9=1,BD57/BD49,CHOOSE($E48,SUMPRODUCT((BD49:BD$65)*($M49:$M$65)*($C49:AS$65=$B48)),IF(NOT(ISNUMBER(Data!AW46)),0,ABS(($F48*100)-(Data!AW46-$I48)*$K48)),ABS(($F48*100)-(Data!AW46-$G48)*$K48)))</f>
        <v>70.8669593384251</v>
      </c>
      <c r="BE48" s="57">
        <f>IF(uxbWorks!$E$9=1,BE57/BE49,CHOOSE($E48,SUMPRODUCT((BE49:BE$65)*($M49:$M$65)*($C49:AT$65=$B48)),IF(NOT(ISNUMBER(Data!AX46)),0,ABS(($F48*100)-(Data!AX46-$I48)*$K48)),ABS(($F48*100)-(Data!AX46-$G48)*$K48)))</f>
        <v>82.3861068217181</v>
      </c>
      <c r="BF48" s="57">
        <f>IF(uxbWorks!$E$9=1,BF57/BF49,CHOOSE($E48,SUMPRODUCT((BF49:BF$65)*($M49:$M$65)*($C49:AU$65=$B48)),IF(NOT(ISNUMBER(Data!AY46)),0,ABS(($F48*100)-(Data!AY46-$I48)*$K48)),ABS(($F48*100)-(Data!AY46-$G48)*$K48)))</f>
        <v>55.2696490535997</v>
      </c>
      <c r="BG48" s="57">
        <f>IF(uxbWorks!$E$9=1,BG57/BG49,CHOOSE($E48,SUMPRODUCT((BG49:BG$65)*($M49:$M$65)*($C49:AV$65=$B48)),IF(NOT(ISNUMBER(Data!AZ46)),0,ABS(($F48*100)-(Data!AZ46-$I48)*$K48)),ABS(($F48*100)-(Data!AZ46-$G48)*$K48)))</f>
        <v>65.8078375734676</v>
      </c>
      <c r="BH48" s="57">
        <f>IF(uxbWorks!$E$9=1,BH57/BH49,CHOOSE($E48,SUMPRODUCT((BH49:BH$65)*($M49:$M$65)*($C49:AW$65=$B48)),IF(NOT(ISNUMBER(Data!BA46)),0,ABS(($F48*100)-(Data!BA46-$I48)*$K48)),ABS(($F48*100)-(Data!BA46-$G48)*$K48)))</f>
        <v>78.3633533694949</v>
      </c>
      <c r="BI48" s="57">
        <f>IF(uxbWorks!$E$9=1,BI57/BI49,CHOOSE($E48,SUMPRODUCT((BI49:BI$65)*($M49:$M$65)*($C49:AX$65=$B48)),IF(NOT(ISNUMBER(Data!BB46)),0,ABS(($F48*100)-(Data!BB46-$I48)*$K48)),ABS(($F48*100)-(Data!BB46-$G48)*$K48)))</f>
        <v>76.6238555715144</v>
      </c>
      <c r="BJ48" s="57">
        <f>IF(uxbWorks!$E$9=1,BJ57/BJ49,CHOOSE($E48,SUMPRODUCT((BJ49:BJ$65)*($M49:$M$65)*($C49:AY$65=$B48)),IF(NOT(ISNUMBER(Data!BC46)),0,ABS(($F48*100)-(Data!BC46-$I48)*$K48)),ABS(($F48*100)-(Data!BC46-$G48)*$K48)))</f>
        <v>73.699500715828</v>
      </c>
      <c r="BK48" s="57">
        <f>IF(uxbWorks!$E$9=1,BK57/BK49,CHOOSE($E48,SUMPRODUCT((BK49:BK$65)*($M49:$M$65)*($C49:AZ$65=$B48)),IF(NOT(ISNUMBER(Data!BD46)),0,ABS(($F48*100)-(Data!BD46-$I48)*$K48)),ABS(($F48*100)-(Data!BD46-$G48)*$K48)))</f>
        <v>77.3461947781632</v>
      </c>
      <c r="BM48" s="65"/>
    </row>
    <row r="49" s="21" customFormat="1" spans="1:65">
      <c r="A49" s="30"/>
      <c r="B49" s="30" t="str">
        <f>tblIndicators!B42</f>
        <v>PERSAF_IP</v>
      </c>
      <c r="C49" s="30" t="str">
        <f>tblIndicators!C42</f>
        <v>PERSAF</v>
      </c>
      <c r="D49" s="53">
        <f>tblIndicators!D42</f>
        <v>2</v>
      </c>
      <c r="E49" s="53">
        <f>tblIndicators!M42</f>
        <v>1</v>
      </c>
      <c r="F49" s="53">
        <f>tblIndicators!N42</f>
        <v>0</v>
      </c>
      <c r="G49" s="53">
        <f>tblIndicators!Q42</f>
        <v>0</v>
      </c>
      <c r="H49" s="53">
        <f>tblIndicators!R42</f>
        <v>0</v>
      </c>
      <c r="I49" s="52" t="str">
        <f>IF($E49=2,MIN(Data!G47:BD47),"")</f>
        <v/>
      </c>
      <c r="J49" s="52" t="str">
        <f>IF($E49=2,MAX(Data!G47:BD47),"")</f>
        <v/>
      </c>
      <c r="K49" s="58" t="str">
        <f t="shared" si="3"/>
        <v/>
      </c>
      <c r="L49" s="59" t="str">
        <f>tblIndicators!Z42</f>
        <v>4.1) Personal Safety (Inputs)</v>
      </c>
      <c r="M49" s="60">
        <f>tblIndicators!AC42</f>
        <v>0.5</v>
      </c>
      <c r="N49" s="61">
        <f>CHOOSE($E49,SUMPRODUCT((N50:N$65)*($M50:$M$65)*($C50:C$65=$B49)),IF(NOT(ISNUMBER(Data!G47)),0,ABS(($F49*100)-(Data!G47-$I49)*$K49)),ABS(($F49*100)-(Data!G47-$G49)*$K49))</f>
        <v>84.2857142857143</v>
      </c>
      <c r="O49" s="61">
        <f>CHOOSE($E49,SUMPRODUCT((O50:O$65)*($M50:$M$65)*($C50:D$65=$B49)),IF(NOT(ISNUMBER(Data!H47)),0,ABS(($F49*100)-(Data!H47-$I49)*$K49)),ABS(($F49*100)-(Data!H47-$G49)*$K49))</f>
        <v>67.6190476190476</v>
      </c>
      <c r="P49" s="61">
        <f>CHOOSE($E49,SUMPRODUCT((P50:P$65)*($M50:$M$65)*($C50:E$65=$B49)),IF(NOT(ISNUMBER(Data!I47)),0,ABS(($F49*100)-(Data!I47-$I49)*$K49)),ABS(($F49*100)-(Data!I47-$G49)*$K49))</f>
        <v>65.9523809523809</v>
      </c>
      <c r="Q49" s="61">
        <f>CHOOSE($E49,SUMPRODUCT((Q50:Q$65)*($M50:$M$65)*($C50:F$65=$B49)),IF(NOT(ISNUMBER(Data!J47)),0,ABS(($F49*100)-(Data!J47-$I49)*$K49)),ABS(($F49*100)-(Data!J47-$G49)*$K49))</f>
        <v>52.1428571428571</v>
      </c>
      <c r="R49" s="61">
        <f>CHOOSE($E49,SUMPRODUCT((R50:R$65)*($M50:$M$65)*($C50:G$65=$B49)),IF(NOT(ISNUMBER(Data!K47)),0,ABS(($F49*100)-(Data!K47-$I49)*$K49)),ABS(($F49*100)-(Data!K47-$G49)*$K49))</f>
        <v>73.5714285714286</v>
      </c>
      <c r="S49" s="61">
        <f>CHOOSE($E49,SUMPRODUCT((S50:S$65)*($M50:$M$65)*($C50:H$65=$B49)),IF(NOT(ISNUMBER(Data!L47)),0,ABS(($F49*100)-(Data!L47-$I49)*$K49)),ABS(($F49*100)-(Data!L47-$G49)*$K49))</f>
        <v>90.4761904761905</v>
      </c>
      <c r="T49" s="61">
        <f>CHOOSE($E49,SUMPRODUCT((T50:T$65)*($M50:$M$65)*($C50:I$65=$B49)),IF(NOT(ISNUMBER(Data!M47)),0,ABS(($F49*100)-(Data!M47-$I49)*$K49)),ABS(($F49*100)-(Data!M47-$G49)*$K49))</f>
        <v>90.4761904761905</v>
      </c>
      <c r="U49" s="61">
        <f>CHOOSE($E49,SUMPRODUCT((U50:U$65)*($M50:$M$65)*($C50:J$65=$B49)),IF(NOT(ISNUMBER(Data!N47)),0,ABS(($F49*100)-(Data!N47-$I49)*$K49)),ABS(($F49*100)-(Data!N47-$G49)*$K49))</f>
        <v>93.3333333333333</v>
      </c>
      <c r="V49" s="61">
        <f>CHOOSE($E49,SUMPRODUCT((V50:V$65)*($M50:$M$65)*($C50:K$65=$B49)),IF(NOT(ISNUMBER(Data!O47)),0,ABS(($F49*100)-(Data!O47-$I49)*$K49)),ABS(($F49*100)-(Data!O47-$G49)*$K49))</f>
        <v>64.7619047619048</v>
      </c>
      <c r="W49" s="61">
        <f>CHOOSE($E49,SUMPRODUCT((W50:W$65)*($M50:$M$65)*($C50:L$65=$B49)),IF(NOT(ISNUMBER(Data!P47)),0,ABS(($F49*100)-(Data!P47-$I49)*$K49)),ABS(($F49*100)-(Data!P47-$G49)*$K49))</f>
        <v>89.7619047619048</v>
      </c>
      <c r="X49" s="61">
        <f>CHOOSE($E49,SUMPRODUCT((X50:X$65)*($M50:$M$65)*($C50:M$65=$B49)),IF(NOT(ISNUMBER(Data!Q47)),0,ABS(($F49*100)-(Data!Q47-$I49)*$K49)),ABS(($F49*100)-(Data!Q47-$G49)*$K49))</f>
        <v>71.9047619047619</v>
      </c>
      <c r="Y49" s="61">
        <f>CHOOSE($E49,SUMPRODUCT((Y50:Y$65)*($M50:$M$65)*($C50:N$65=$B49)),IF(NOT(ISNUMBER(Data!R47)),0,ABS(($F49*100)-(Data!R47-$I49)*$K49)),ABS(($F49*100)-(Data!R47-$G49)*$K49))</f>
        <v>80.4761904761905</v>
      </c>
      <c r="Z49" s="61">
        <f>CHOOSE($E49,SUMPRODUCT((Z50:Z$65)*($M50:$M$65)*($C50:O$65=$B49)),IF(NOT(ISNUMBER(Data!S47)),0,ABS(($F49*100)-(Data!S47-$I49)*$K49)),ABS(($F49*100)-(Data!S47-$G49)*$K49))</f>
        <v>51.4285714285714</v>
      </c>
      <c r="AA49" s="61">
        <f>CHOOSE($E49,SUMPRODUCT((AA50:AA$65)*($M50:$M$65)*($C50:P$65=$B49)),IF(NOT(ISNUMBER(Data!T47)),0,ABS(($F49*100)-(Data!T47-$I49)*$K49)),ABS(($F49*100)-(Data!T47-$G49)*$K49))</f>
        <v>88.8095238095238</v>
      </c>
      <c r="AB49" s="61">
        <f>CHOOSE($E49,SUMPRODUCT((AB50:AB$65)*($M50:$M$65)*($C50:Q$65=$B49)),IF(NOT(ISNUMBER(Data!U47)),0,ABS(($F49*100)-(Data!U47-$I49)*$K49)),ABS(($F49*100)-(Data!U47-$G49)*$K49))</f>
        <v>95</v>
      </c>
      <c r="AC49" s="61">
        <f>CHOOSE($E49,SUMPRODUCT((AC50:AC$65)*($M50:$M$65)*($C50:R$65=$B49)),IF(NOT(ISNUMBER(Data!V47)),0,ABS(($F49*100)-(Data!V47-$I49)*$K49)),ABS(($F49*100)-(Data!V47-$G49)*$K49))</f>
        <v>95</v>
      </c>
      <c r="AD49" s="61">
        <f>CHOOSE($E49,SUMPRODUCT((AD50:AD$65)*($M50:$M$65)*($C50:S$65=$B49)),IF(NOT(ISNUMBER(Data!W47)),0,ABS(($F49*100)-(Data!W47-$I49)*$K49)),ABS(($F49*100)-(Data!W47-$G49)*$K49))</f>
        <v>95</v>
      </c>
      <c r="AE49" s="61">
        <f>CHOOSE($E49,SUMPRODUCT((AE50:AE$65)*($M50:$M$65)*($C50:T$65=$B49)),IF(NOT(ISNUMBER(Data!X47)),0,ABS(($F49*100)-(Data!X47-$I49)*$K49)),ABS(($F49*100)-(Data!X47-$G49)*$K49))</f>
        <v>92.6190476190476</v>
      </c>
      <c r="AF49" s="61">
        <f>CHOOSE($E49,SUMPRODUCT((AF50:AF$65)*($M50:$M$65)*($C50:U$65=$B49)),IF(NOT(ISNUMBER(Data!Y47)),0,ABS(($F49*100)-(Data!Y47-$I49)*$K49)),ABS(($F49*100)-(Data!Y47-$G49)*$K49))</f>
        <v>49.2857142857143</v>
      </c>
      <c r="AG49" s="61">
        <f>CHOOSE($E49,SUMPRODUCT((AG50:AG$65)*($M50:$M$65)*($C50:V$65=$B49)),IF(NOT(ISNUMBER(Data!Z47)),0,ABS(($F49*100)-(Data!Z47-$I49)*$K49)),ABS(($F49*100)-(Data!Z47-$G49)*$K49))</f>
        <v>70.7142857142857</v>
      </c>
      <c r="AH49" s="61">
        <f>CHOOSE($E49,SUMPRODUCT((AH50:AH$65)*($M50:$M$65)*($C50:W$65=$B49)),IF(NOT(ISNUMBER(Data!AA47)),0,ABS(($F49*100)-(Data!AA47-$I49)*$K49)),ABS(($F49*100)-(Data!AA47-$G49)*$K49))</f>
        <v>56.4285714285714</v>
      </c>
      <c r="AI49" s="61">
        <f>CHOOSE($E49,SUMPRODUCT((AI50:AI$65)*($M50:$M$65)*($C50:X$65=$B49)),IF(NOT(ISNUMBER(Data!AB47)),0,ABS(($F49*100)-(Data!AB47-$I49)*$K49)),ABS(($F49*100)-(Data!AB47-$G49)*$K49))</f>
        <v>56.4285714285714</v>
      </c>
      <c r="AJ49" s="61">
        <f>CHOOSE($E49,SUMPRODUCT((AJ50:AJ$65)*($M50:$M$65)*($C50:Y$65=$B49)),IF(NOT(ISNUMBER(Data!AC47)),0,ABS(($F49*100)-(Data!AC47-$I49)*$K49)),ABS(($F49*100)-(Data!AC47-$G49)*$K49))</f>
        <v>56.4285714285714</v>
      </c>
      <c r="AK49" s="61">
        <f>CHOOSE($E49,SUMPRODUCT((AK50:AK$65)*($M50:$M$65)*($C50:Z$65=$B49)),IF(NOT(ISNUMBER(Data!AD47)),0,ABS(($F49*100)-(Data!AD47-$I49)*$K49)),ABS(($F49*100)-(Data!AD47-$G49)*$K49))</f>
        <v>75.2380952380952</v>
      </c>
      <c r="AL49" s="61">
        <f>CHOOSE($E49,SUMPRODUCT((AL50:AL$65)*($M50:$M$65)*($C50:AA$65=$B49)),IF(NOT(ISNUMBER(Data!AE47)),0,ABS(($F49*100)-(Data!AE47-$I49)*$K49)),ABS(($F49*100)-(Data!AE47-$G49)*$K49))</f>
        <v>75.2380952380952</v>
      </c>
      <c r="AM49" s="61">
        <f>CHOOSE($E49,SUMPRODUCT((AM50:AM$65)*($M50:$M$65)*($C50:AB$65=$B49)),IF(NOT(ISNUMBER(Data!AF47)),0,ABS(($F49*100)-(Data!AF47-$I49)*$K49)),ABS(($F49*100)-(Data!AF47-$G49)*$K49))</f>
        <v>56.1904761904762</v>
      </c>
      <c r="AN49" s="61">
        <f>CHOOSE($E49,SUMPRODUCT((AN50:AN$65)*($M50:$M$65)*($C50:AC$65=$B49)),IF(NOT(ISNUMBER(Data!AG47)),0,ABS(($F49*100)-(Data!AG47-$I49)*$K49)),ABS(($F49*100)-(Data!AG47-$G49)*$K49))</f>
        <v>46.1904761904762</v>
      </c>
      <c r="AO49" s="61">
        <f>CHOOSE($E49,SUMPRODUCT((AO50:AO$65)*($M50:$M$65)*($C50:AD$65=$B49)),IF(NOT(ISNUMBER(Data!AH47)),0,ABS(($F49*100)-(Data!AH47-$I49)*$K49)),ABS(($F49*100)-(Data!AH47-$G49)*$K49))</f>
        <v>96.1904761904762</v>
      </c>
      <c r="AP49" s="61">
        <f>CHOOSE($E49,SUMPRODUCT((AP50:AP$65)*($M50:$M$65)*($C50:AE$65=$B49)),IF(NOT(ISNUMBER(Data!AI47)),0,ABS(($F49*100)-(Data!AI47-$I49)*$K49)),ABS(($F49*100)-(Data!AI47-$G49)*$K49))</f>
        <v>96.1904761904762</v>
      </c>
      <c r="AQ49" s="61">
        <f>CHOOSE($E49,SUMPRODUCT((AQ50:AQ$65)*($M50:$M$65)*($C50:AF$65=$B49)),IF(NOT(ISNUMBER(Data!AJ47)),0,ABS(($F49*100)-(Data!AJ47-$I49)*$K49)),ABS(($F49*100)-(Data!AJ47-$G49)*$K49))</f>
        <v>94.7619047619047</v>
      </c>
      <c r="AR49" s="61">
        <f>CHOOSE($E49,SUMPRODUCT((AR50:AR$65)*($M50:$M$65)*($C50:AG$65=$B49)),IF(NOT(ISNUMBER(Data!AK47)),0,ABS(($F49*100)-(Data!AK47-$I49)*$K49)),ABS(($F49*100)-(Data!AK47-$G49)*$K49))</f>
        <v>69.2857142857143</v>
      </c>
      <c r="AS49" s="61">
        <f>CHOOSE($E49,SUMPRODUCT((AS50:AS$65)*($M50:$M$65)*($C50:AH$65=$B49)),IF(NOT(ISNUMBER(Data!AL47)),0,ABS(($F49*100)-(Data!AL47-$I49)*$K49)),ABS(($F49*100)-(Data!AL47-$G49)*$K49))</f>
        <v>94.5238095238095</v>
      </c>
      <c r="AT49" s="61">
        <f>CHOOSE($E49,SUMPRODUCT((AT50:AT$65)*($M50:$M$65)*($C50:AI$65=$B49)),IF(NOT(ISNUMBER(Data!AM47)),0,ABS(($F49*100)-(Data!AM47-$I49)*$K49)),ABS(($F49*100)-(Data!AM47-$G49)*$K49))</f>
        <v>74.7619047619048</v>
      </c>
      <c r="AU49" s="61">
        <f>CHOOSE($E49,SUMPRODUCT((AU50:AU$65)*($M50:$M$65)*($C50:AJ$65=$B49)),IF(NOT(ISNUMBER(Data!AN47)),0,ABS(($F49*100)-(Data!AN47-$I49)*$K49)),ABS(($F49*100)-(Data!AN47-$G49)*$K49))</f>
        <v>57.1428571428571</v>
      </c>
      <c r="AV49" s="61">
        <f>CHOOSE($E49,SUMPRODUCT((AV50:AV$65)*($M50:$M$65)*($C50:AK$65=$B49)),IF(NOT(ISNUMBER(Data!AO47)),0,ABS(($F49*100)-(Data!AO47-$I49)*$K49)),ABS(($F49*100)-(Data!AO47-$G49)*$K49))</f>
        <v>33.5714285714286</v>
      </c>
      <c r="AW49" s="61">
        <f>CHOOSE($E49,SUMPRODUCT((AW50:AW$65)*($M50:$M$65)*($C50:AL$65=$B49)),IF(NOT(ISNUMBER(Data!AP47)),0,ABS(($F49*100)-(Data!AP47-$I49)*$K49)),ABS(($F49*100)-(Data!AP47-$G49)*$K49))</f>
        <v>81.1904761904762</v>
      </c>
      <c r="AX49" s="61">
        <f>CHOOSE($E49,SUMPRODUCT((AX50:AX$65)*($M50:$M$65)*($C50:AM$65=$B49)),IF(NOT(ISNUMBER(Data!AQ47)),0,ABS(($F49*100)-(Data!AQ47-$I49)*$K49)),ABS(($F49*100)-(Data!AQ47-$G49)*$K49))</f>
        <v>35</v>
      </c>
      <c r="AY49" s="61">
        <f>CHOOSE($E49,SUMPRODUCT((AY50:AY$65)*($M50:$M$65)*($C50:AN$65=$B49)),IF(NOT(ISNUMBER(Data!AR47)),0,ABS(($F49*100)-(Data!AR47-$I49)*$K49)),ABS(($F49*100)-(Data!AR47-$G49)*$K49))</f>
        <v>50</v>
      </c>
      <c r="AZ49" s="61">
        <f>CHOOSE($E49,SUMPRODUCT((AZ50:AZ$65)*($M50:$M$65)*($C50:AO$65=$B49)),IF(NOT(ISNUMBER(Data!AS47)),0,ABS(($F49*100)-(Data!AS47-$I49)*$K49)),ABS(($F49*100)-(Data!AS47-$G49)*$K49))</f>
        <v>47.3809523809524</v>
      </c>
      <c r="BA49" s="61">
        <f>CHOOSE($E49,SUMPRODUCT((BA50:BA$65)*($M50:$M$65)*($C50:AP$65=$B49)),IF(NOT(ISNUMBER(Data!AT47)),0,ABS(($F49*100)-(Data!AT47-$I49)*$K49)),ABS(($F49*100)-(Data!AT47-$G49)*$K49))</f>
        <v>73.0952380952381</v>
      </c>
      <c r="BB49" s="61">
        <f>CHOOSE($E49,SUMPRODUCT((BB50:BB$65)*($M50:$M$65)*($C50:AQ$65=$B49)),IF(NOT(ISNUMBER(Data!AU47)),0,ABS(($F49*100)-(Data!AU47-$I49)*$K49)),ABS(($F49*100)-(Data!AU47-$G49)*$K49))</f>
        <v>77.1428571428571</v>
      </c>
      <c r="BC49" s="61">
        <f>CHOOSE($E49,SUMPRODUCT((BC50:BC$65)*($M50:$M$65)*($C50:AR$65=$B49)),IF(NOT(ISNUMBER(Data!AV47)),0,ABS(($F49*100)-(Data!AV47-$I49)*$K49)),ABS(($F49*100)-(Data!AV47-$G49)*$K49))</f>
        <v>59.047619047619</v>
      </c>
      <c r="BD49" s="61">
        <f>CHOOSE($E49,SUMPRODUCT((BD50:BD$65)*($M50:$M$65)*($C50:AS$65=$B49)),IF(NOT(ISNUMBER(Data!AW47)),0,ABS(($F49*100)-(Data!AW47-$I49)*$K49)),ABS(($F49*100)-(Data!AW47-$G49)*$K49))</f>
        <v>73.3333333333333</v>
      </c>
      <c r="BE49" s="61">
        <f>CHOOSE($E49,SUMPRODUCT((BE50:BE$65)*($M50:$M$65)*($C50:AT$65=$B49)),IF(NOT(ISNUMBER(Data!AX47)),0,ABS(($F49*100)-(Data!AX47-$I49)*$K49)),ABS(($F49*100)-(Data!AX47-$G49)*$K49))</f>
        <v>92.3809523809524</v>
      </c>
      <c r="BF49" s="61">
        <f>CHOOSE($E49,SUMPRODUCT((BF50:BF$65)*($M50:$M$65)*($C50:AU$65=$B49)),IF(NOT(ISNUMBER(Data!AY47)),0,ABS(($F49*100)-(Data!AY47-$I49)*$K49)),ABS(($F49*100)-(Data!AY47-$G49)*$K49))</f>
        <v>34.5238095238095</v>
      </c>
      <c r="BG49" s="61">
        <f>CHOOSE($E49,SUMPRODUCT((BG50:BG$65)*($M50:$M$65)*($C50:AV$65=$B49)),IF(NOT(ISNUMBER(Data!AZ47)),0,ABS(($F49*100)-(Data!AZ47-$I49)*$K49)),ABS(($F49*100)-(Data!AZ47-$G49)*$K49))</f>
        <v>70</v>
      </c>
      <c r="BH49" s="61">
        <f>CHOOSE($E49,SUMPRODUCT((BH50:BH$65)*($M50:$M$65)*($C50:AW$65=$B49)),IF(NOT(ISNUMBER(Data!BA47)),0,ABS(($F49*100)-(Data!BA47-$I49)*$K49)),ABS(($F49*100)-(Data!BA47-$G49)*$K49))</f>
        <v>91.4285714285714</v>
      </c>
      <c r="BI49" s="61">
        <f>CHOOSE($E49,SUMPRODUCT((BI50:BI$65)*($M50:$M$65)*($C50:AX$65=$B49)),IF(NOT(ISNUMBER(Data!BB47)),0,ABS(($F49*100)-(Data!BB47-$I49)*$K49)),ABS(($F49*100)-(Data!BB47-$G49)*$K49))</f>
        <v>71.1904761904762</v>
      </c>
      <c r="BJ49" s="61">
        <f>CHOOSE($E49,SUMPRODUCT((BJ50:BJ$65)*($M50:$M$65)*($C50:AY$65=$B49)),IF(NOT(ISNUMBER(Data!BC47)),0,ABS(($F49*100)-(Data!BC47-$I49)*$K49)),ABS(($F49*100)-(Data!BC47-$G49)*$K49))</f>
        <v>79.7619047619047</v>
      </c>
      <c r="BK49" s="61">
        <f>CHOOSE($E49,SUMPRODUCT((BK50:BK$65)*($M50:$M$65)*($C50:AZ$65=$B49)),IF(NOT(ISNUMBER(Data!BD47)),0,ABS(($F49*100)-(Data!BD47-$I49)*$K49)),ABS(($F49*100)-(Data!BD47-$G49)*$K49))</f>
        <v>93.3333333333333</v>
      </c>
      <c r="BM49" s="65"/>
    </row>
    <row r="50" s="22" customFormat="1" spans="1:65">
      <c r="A50" s="24"/>
      <c r="B50" s="24" t="str">
        <f>tblIndicators!B43</f>
        <v>PERSAF_IP_01</v>
      </c>
      <c r="C50" s="24" t="str">
        <f>tblIndicators!C43</f>
        <v>PERSAF_IP</v>
      </c>
      <c r="D50" s="52">
        <f>tblIndicators!D43</f>
        <v>3</v>
      </c>
      <c r="E50" s="52">
        <f>tblIndicators!M43</f>
        <v>3</v>
      </c>
      <c r="F50" s="52">
        <f>tblIndicators!N43</f>
        <v>0</v>
      </c>
      <c r="G50" s="52">
        <f>tblIndicators!Q43</f>
        <v>0</v>
      </c>
      <c r="H50" s="52">
        <f>tblIndicators!R43</f>
        <v>1</v>
      </c>
      <c r="I50" s="52" t="str">
        <f>IF($E50=2,MIN(Data!G48:BD48),"")</f>
        <v/>
      </c>
      <c r="J50" s="52" t="str">
        <f>IF($E50=2,MAX(Data!G48:BD48),"")</f>
        <v/>
      </c>
      <c r="K50" s="54">
        <f t="shared" si="3"/>
        <v>100</v>
      </c>
      <c r="L50" s="62" t="str">
        <f>tblIndicators!Z43</f>
        <v>4.1.1) Level of police engagement</v>
      </c>
      <c r="M50" s="63">
        <f>tblIndicators!AC43</f>
        <v>0.142857142857143</v>
      </c>
      <c r="N50" s="64">
        <f>CHOOSE($E50,SUMPRODUCT((N51:N$65)*($M51:$M$65)*($C51:C$65=$B50)),IF(NOT(ISNUMBER(Data!G48)),0,ABS(($F50*100)-(Data!G48-$I50)*$K50)),ABS(($F50*100)-(Data!G48-$G50)*$K50))</f>
        <v>100</v>
      </c>
      <c r="O50" s="64">
        <f>CHOOSE($E50,SUMPRODUCT((O51:O$65)*($M51:$M$65)*($C51:D$65=$B50)),IF(NOT(ISNUMBER(Data!H48)),0,ABS(($F50*100)-(Data!H48-$I50)*$K50)),ABS(($F50*100)-(Data!H48-$G50)*$K50))</f>
        <v>100</v>
      </c>
      <c r="P50" s="64">
        <f>CHOOSE($E50,SUMPRODUCT((P51:P$65)*($M51:$M$65)*($C51:E$65=$B50)),IF(NOT(ISNUMBER(Data!I48)),0,ABS(($F50*100)-(Data!I48-$I50)*$K50)),ABS(($F50*100)-(Data!I48-$G50)*$K50))</f>
        <v>50</v>
      </c>
      <c r="Q50" s="64">
        <f>CHOOSE($E50,SUMPRODUCT((Q51:Q$65)*($M51:$M$65)*($C51:F$65=$B50)),IF(NOT(ISNUMBER(Data!J48)),0,ABS(($F50*100)-(Data!J48-$I50)*$K50)),ABS(($F50*100)-(Data!J48-$G50)*$K50))</f>
        <v>50</v>
      </c>
      <c r="R50" s="64">
        <f>CHOOSE($E50,SUMPRODUCT((R51:R$65)*($M51:$M$65)*($C51:G$65=$B50)),IF(NOT(ISNUMBER(Data!K48)),0,ABS(($F50*100)-(Data!K48-$I50)*$K50)),ABS(($F50*100)-(Data!K48-$G50)*$K50))</f>
        <v>100</v>
      </c>
      <c r="S50" s="64">
        <f>CHOOSE($E50,SUMPRODUCT((S51:S$65)*($M51:$M$65)*($C51:H$65=$B50)),IF(NOT(ISNUMBER(Data!L48)),0,ABS(($F50*100)-(Data!L48-$I50)*$K50)),ABS(($F50*100)-(Data!L48-$G50)*$K50))</f>
        <v>100</v>
      </c>
      <c r="T50" s="64">
        <f>CHOOSE($E50,SUMPRODUCT((T51:T$65)*($M51:$M$65)*($C51:I$65=$B50)),IF(NOT(ISNUMBER(Data!M48)),0,ABS(($F50*100)-(Data!M48-$I50)*$K50)),ABS(($F50*100)-(Data!M48-$G50)*$K50))</f>
        <v>100</v>
      </c>
      <c r="U50" s="64">
        <f>CHOOSE($E50,SUMPRODUCT((U51:U$65)*($M51:$M$65)*($C51:J$65=$B50)),IF(NOT(ISNUMBER(Data!N48)),0,ABS(($F50*100)-(Data!N48-$I50)*$K50)),ABS(($F50*100)-(Data!N48-$G50)*$K50))</f>
        <v>100</v>
      </c>
      <c r="V50" s="64">
        <f>CHOOSE($E50,SUMPRODUCT((V51:V$65)*($M51:$M$65)*($C51:K$65=$B50)),IF(NOT(ISNUMBER(Data!O48)),0,ABS(($F50*100)-(Data!O48-$I50)*$K50)),ABS(($F50*100)-(Data!O48-$G50)*$K50))</f>
        <v>100</v>
      </c>
      <c r="W50" s="64">
        <f>CHOOSE($E50,SUMPRODUCT((W51:W$65)*($M51:$M$65)*($C51:L$65=$B50)),IF(NOT(ISNUMBER(Data!P48)),0,ABS(($F50*100)-(Data!P48-$I50)*$K50)),ABS(($F50*100)-(Data!P48-$G50)*$K50))</f>
        <v>100</v>
      </c>
      <c r="X50" s="64">
        <f>CHOOSE($E50,SUMPRODUCT((X51:X$65)*($M51:$M$65)*($C51:M$65=$B50)),IF(NOT(ISNUMBER(Data!Q48)),0,ABS(($F50*100)-(Data!Q48-$I50)*$K50)),ABS(($F50*100)-(Data!Q48-$G50)*$K50))</f>
        <v>100</v>
      </c>
      <c r="Y50" s="64">
        <f>CHOOSE($E50,SUMPRODUCT((Y51:Y$65)*($M51:$M$65)*($C51:N$65=$B50)),IF(NOT(ISNUMBER(Data!R48)),0,ABS(($F50*100)-(Data!R48-$I50)*$K50)),ABS(($F50*100)-(Data!R48-$G50)*$K50))</f>
        <v>100</v>
      </c>
      <c r="Z50" s="64">
        <f>CHOOSE($E50,SUMPRODUCT((Z51:Z$65)*($M51:$M$65)*($C51:O$65=$B50)),IF(NOT(ISNUMBER(Data!S48)),0,ABS(($F50*100)-(Data!S48-$I50)*$K50)),ABS(($F50*100)-(Data!S48-$G50)*$K50))</f>
        <v>50</v>
      </c>
      <c r="AA50" s="64">
        <f>CHOOSE($E50,SUMPRODUCT((AA51:AA$65)*($M51:$M$65)*($C51:P$65=$B50)),IF(NOT(ISNUMBER(Data!T48)),0,ABS(($F50*100)-(Data!T48-$I50)*$K50)),ABS(($F50*100)-(Data!T48-$G50)*$K50))</f>
        <v>100</v>
      </c>
      <c r="AB50" s="64">
        <f>CHOOSE($E50,SUMPRODUCT((AB51:AB$65)*($M51:$M$65)*($C51:Q$65=$B50)),IF(NOT(ISNUMBER(Data!U48)),0,ABS(($F50*100)-(Data!U48-$I50)*$K50)),ABS(($F50*100)-(Data!U48-$G50)*$K50))</f>
        <v>100</v>
      </c>
      <c r="AC50" s="64">
        <f>CHOOSE($E50,SUMPRODUCT((AC51:AC$65)*($M51:$M$65)*($C51:R$65=$B50)),IF(NOT(ISNUMBER(Data!V48)),0,ABS(($F50*100)-(Data!V48-$I50)*$K50)),ABS(($F50*100)-(Data!V48-$G50)*$K50))</f>
        <v>100</v>
      </c>
      <c r="AD50" s="64">
        <f>CHOOSE($E50,SUMPRODUCT((AD51:AD$65)*($M51:$M$65)*($C51:S$65=$B50)),IF(NOT(ISNUMBER(Data!W48)),0,ABS(($F50*100)-(Data!W48-$I50)*$K50)),ABS(($F50*100)-(Data!W48-$G50)*$K50))</f>
        <v>100</v>
      </c>
      <c r="AE50" s="64">
        <f>CHOOSE($E50,SUMPRODUCT((AE51:AE$65)*($M51:$M$65)*($C51:T$65=$B50)),IF(NOT(ISNUMBER(Data!X48)),0,ABS(($F50*100)-(Data!X48-$I50)*$K50)),ABS(($F50*100)-(Data!X48-$G50)*$K50))</f>
        <v>100</v>
      </c>
      <c r="AF50" s="64">
        <f>CHOOSE($E50,SUMPRODUCT((AF51:AF$65)*($M51:$M$65)*($C51:U$65=$B50)),IF(NOT(ISNUMBER(Data!Y48)),0,ABS(($F50*100)-(Data!Y48-$I50)*$K50)),ABS(($F50*100)-(Data!Y48-$G50)*$K50))</f>
        <v>100</v>
      </c>
      <c r="AG50" s="64">
        <f>CHOOSE($E50,SUMPRODUCT((AG51:AG$65)*($M51:$M$65)*($C51:V$65=$B50)),IF(NOT(ISNUMBER(Data!Z48)),0,ABS(($F50*100)-(Data!Z48-$I50)*$K50)),ABS(($F50*100)-(Data!Z48-$G50)*$K50))</f>
        <v>50</v>
      </c>
      <c r="AH50" s="64">
        <f>CHOOSE($E50,SUMPRODUCT((AH51:AH$65)*($M51:$M$65)*($C51:W$65=$B50)),IF(NOT(ISNUMBER(Data!AA48)),0,ABS(($F50*100)-(Data!AA48-$I50)*$K50)),ABS(($F50*100)-(Data!AA48-$G50)*$K50))</f>
        <v>50</v>
      </c>
      <c r="AI50" s="64">
        <f>CHOOSE($E50,SUMPRODUCT((AI51:AI$65)*($M51:$M$65)*($C51:X$65=$B50)),IF(NOT(ISNUMBER(Data!AB48)),0,ABS(($F50*100)-(Data!AB48-$I50)*$K50)),ABS(($F50*100)-(Data!AB48-$G50)*$K50))</f>
        <v>50</v>
      </c>
      <c r="AJ50" s="64">
        <f>CHOOSE($E50,SUMPRODUCT((AJ51:AJ$65)*($M51:$M$65)*($C51:Y$65=$B50)),IF(NOT(ISNUMBER(Data!AC48)),0,ABS(($F50*100)-(Data!AC48-$I50)*$K50)),ABS(($F50*100)-(Data!AC48-$G50)*$K50))</f>
        <v>50</v>
      </c>
      <c r="AK50" s="64">
        <f>CHOOSE($E50,SUMPRODUCT((AK51:AK$65)*($M51:$M$65)*($C51:Z$65=$B50)),IF(NOT(ISNUMBER(Data!AD48)),0,ABS(($F50*100)-(Data!AD48-$I50)*$K50)),ABS(($F50*100)-(Data!AD48-$G50)*$K50))</f>
        <v>100</v>
      </c>
      <c r="AL50" s="64">
        <f>CHOOSE($E50,SUMPRODUCT((AL51:AL$65)*($M51:$M$65)*($C51:AA$65=$B50)),IF(NOT(ISNUMBER(Data!AE48)),0,ABS(($F50*100)-(Data!AE48-$I50)*$K50)),ABS(($F50*100)-(Data!AE48-$G50)*$K50))</f>
        <v>100</v>
      </c>
      <c r="AM50" s="64">
        <f>CHOOSE($E50,SUMPRODUCT((AM51:AM$65)*($M51:$M$65)*($C51:AB$65=$B50)),IF(NOT(ISNUMBER(Data!AF48)),0,ABS(($F50*100)-(Data!AF48-$I50)*$K50)),ABS(($F50*100)-(Data!AF48-$G50)*$K50))</f>
        <v>50</v>
      </c>
      <c r="AN50" s="64">
        <f>CHOOSE($E50,SUMPRODUCT((AN51:AN$65)*($M51:$M$65)*($C51:AC$65=$B50)),IF(NOT(ISNUMBER(Data!AG48)),0,ABS(($F50*100)-(Data!AG48-$I50)*$K50)),ABS(($F50*100)-(Data!AG48-$G50)*$K50))</f>
        <v>50</v>
      </c>
      <c r="AO50" s="64">
        <f>CHOOSE($E50,SUMPRODUCT((AO51:AO$65)*($M51:$M$65)*($C51:AD$65=$B50)),IF(NOT(ISNUMBER(Data!AH48)),0,ABS(($F50*100)-(Data!AH48-$I50)*$K50)),ABS(($F50*100)-(Data!AH48-$G50)*$K50))</f>
        <v>100</v>
      </c>
      <c r="AP50" s="64">
        <f>CHOOSE($E50,SUMPRODUCT((AP51:AP$65)*($M51:$M$65)*($C51:AE$65=$B50)),IF(NOT(ISNUMBER(Data!AI48)),0,ABS(($F50*100)-(Data!AI48-$I50)*$K50)),ABS(($F50*100)-(Data!AI48-$G50)*$K50))</f>
        <v>100</v>
      </c>
      <c r="AQ50" s="64">
        <f>CHOOSE($E50,SUMPRODUCT((AQ51:AQ$65)*($M51:$M$65)*($C51:AF$65=$B50)),IF(NOT(ISNUMBER(Data!AJ48)),0,ABS(($F50*100)-(Data!AJ48-$I50)*$K50)),ABS(($F50*100)-(Data!AJ48-$G50)*$K50))</f>
        <v>100</v>
      </c>
      <c r="AR50" s="64">
        <f>CHOOSE($E50,SUMPRODUCT((AR51:AR$65)*($M51:$M$65)*($C51:AG$65=$B50)),IF(NOT(ISNUMBER(Data!AK48)),0,ABS(($F50*100)-(Data!AK48-$I50)*$K50)),ABS(($F50*100)-(Data!AK48-$G50)*$K50))</f>
        <v>50</v>
      </c>
      <c r="AS50" s="64">
        <f>CHOOSE($E50,SUMPRODUCT((AS51:AS$65)*($M51:$M$65)*($C51:AH$65=$B50)),IF(NOT(ISNUMBER(Data!AL48)),0,ABS(($F50*100)-(Data!AL48-$I50)*$K50)),ABS(($F50*100)-(Data!AL48-$G50)*$K50))</f>
        <v>100</v>
      </c>
      <c r="AT50" s="64">
        <f>CHOOSE($E50,SUMPRODUCT((AT51:AT$65)*($M51:$M$65)*($C51:AI$65=$B50)),IF(NOT(ISNUMBER(Data!AM48)),0,ABS(($F50*100)-(Data!AM48-$I50)*$K50)),ABS(($F50*100)-(Data!AM48-$G50)*$K50))</f>
        <v>50</v>
      </c>
      <c r="AU50" s="64">
        <f>CHOOSE($E50,SUMPRODUCT((AU51:AU$65)*($M51:$M$65)*($C51:AJ$65=$B50)),IF(NOT(ISNUMBER(Data!AN48)),0,ABS(($F50*100)-(Data!AN48-$I50)*$K50)),ABS(($F50*100)-(Data!AN48-$G50)*$K50))</f>
        <v>50</v>
      </c>
      <c r="AV50" s="64">
        <f>CHOOSE($E50,SUMPRODUCT((AV51:AV$65)*($M51:$M$65)*($C51:AK$65=$B50)),IF(NOT(ISNUMBER(Data!AO48)),0,ABS(($F50*100)-(Data!AO48-$I50)*$K50)),ABS(($F50*100)-(Data!AO48-$G50)*$K50))</f>
        <v>100</v>
      </c>
      <c r="AW50" s="64">
        <f>CHOOSE($E50,SUMPRODUCT((AW51:AW$65)*($M51:$M$65)*($C51:AL$65=$B50)),IF(NOT(ISNUMBER(Data!AP48)),0,ABS(($F50*100)-(Data!AP48-$I50)*$K50)),ABS(($F50*100)-(Data!AP48-$G50)*$K50))</f>
        <v>50</v>
      </c>
      <c r="AX50" s="64">
        <f>CHOOSE($E50,SUMPRODUCT((AX51:AX$65)*($M51:$M$65)*($C51:AM$65=$B50)),IF(NOT(ISNUMBER(Data!AQ48)),0,ABS(($F50*100)-(Data!AQ48-$I50)*$K50)),ABS(($F50*100)-(Data!AQ48-$G50)*$K50))</f>
        <v>100</v>
      </c>
      <c r="AY50" s="64">
        <f>CHOOSE($E50,SUMPRODUCT((AY51:AY$65)*($M51:$M$65)*($C51:AN$65=$B50)),IF(NOT(ISNUMBER(Data!AR48)),0,ABS(($F50*100)-(Data!AR48-$I50)*$K50)),ABS(($F50*100)-(Data!AR48-$G50)*$K50))</f>
        <v>50</v>
      </c>
      <c r="AZ50" s="64">
        <f>CHOOSE($E50,SUMPRODUCT((AZ51:AZ$65)*($M51:$M$65)*($C51:AO$65=$B50)),IF(NOT(ISNUMBER(Data!AS48)),0,ABS(($F50*100)-(Data!AS48-$I50)*$K50)),ABS(($F50*100)-(Data!AS48-$G50)*$K50))</f>
        <v>100</v>
      </c>
      <c r="BA50" s="64">
        <f>CHOOSE($E50,SUMPRODUCT((BA51:BA$65)*($M51:$M$65)*($C51:AP$65=$B50)),IF(NOT(ISNUMBER(Data!AT48)),0,ABS(($F50*100)-(Data!AT48-$I50)*$K50)),ABS(($F50*100)-(Data!AT48-$G50)*$K50))</f>
        <v>100</v>
      </c>
      <c r="BB50" s="64">
        <f>CHOOSE($E50,SUMPRODUCT((BB51:BB$65)*($M51:$M$65)*($C51:AQ$65=$B50)),IF(NOT(ISNUMBER(Data!AU48)),0,ABS(($F50*100)-(Data!AU48-$I50)*$K50)),ABS(($F50*100)-(Data!AU48-$G50)*$K50))</f>
        <v>100</v>
      </c>
      <c r="BC50" s="64">
        <f>CHOOSE($E50,SUMPRODUCT((BC51:BC$65)*($M51:$M$65)*($C51:AR$65=$B50)),IF(NOT(ISNUMBER(Data!AV48)),0,ABS(($F50*100)-(Data!AV48-$I50)*$K50)),ABS(($F50*100)-(Data!AV48-$G50)*$K50))</f>
        <v>100</v>
      </c>
      <c r="BD50" s="64">
        <f>CHOOSE($E50,SUMPRODUCT((BD51:BD$65)*($M51:$M$65)*($C51:AS$65=$B50)),IF(NOT(ISNUMBER(Data!AW48)),0,ABS(($F50*100)-(Data!AW48-$I50)*$K50)),ABS(($F50*100)-(Data!AW48-$G50)*$K50))</f>
        <v>100</v>
      </c>
      <c r="BE50" s="64">
        <f>CHOOSE($E50,SUMPRODUCT((BE51:BE$65)*($M51:$M$65)*($C51:AT$65=$B50)),IF(NOT(ISNUMBER(Data!AX48)),0,ABS(($F50*100)-(Data!AX48-$I50)*$K50)),ABS(($F50*100)-(Data!AX48-$G50)*$K50))</f>
        <v>100</v>
      </c>
      <c r="BF50" s="64">
        <f>CHOOSE($E50,SUMPRODUCT((BF51:BF$65)*($M51:$M$65)*($C51:AU$65=$B50)),IF(NOT(ISNUMBER(Data!AY48)),0,ABS(($F50*100)-(Data!AY48-$I50)*$K50)),ABS(($F50*100)-(Data!AY48-$G50)*$K50))</f>
        <v>50</v>
      </c>
      <c r="BG50" s="64">
        <f>CHOOSE($E50,SUMPRODUCT((BG51:BG$65)*($M51:$M$65)*($C51:AV$65=$B50)),IF(NOT(ISNUMBER(Data!AZ48)),0,ABS(($F50*100)-(Data!AZ48-$I50)*$K50)),ABS(($F50*100)-(Data!AZ48-$G50)*$K50))</f>
        <v>50</v>
      </c>
      <c r="BH50" s="64">
        <f>CHOOSE($E50,SUMPRODUCT((BH51:BH$65)*($M51:$M$65)*($C51:AW$65=$B50)),IF(NOT(ISNUMBER(Data!BA48)),0,ABS(($F50*100)-(Data!BA48-$I50)*$K50)),ABS(($F50*100)-(Data!BA48-$G50)*$K50))</f>
        <v>100</v>
      </c>
      <c r="BI50" s="64">
        <f>CHOOSE($E50,SUMPRODUCT((BI51:BI$65)*($M51:$M$65)*($C51:AX$65=$B50)),IF(NOT(ISNUMBER(Data!BB48)),0,ABS(($F50*100)-(Data!BB48-$I50)*$K50)),ABS(($F50*100)-(Data!BB48-$G50)*$K50))</f>
        <v>100</v>
      </c>
      <c r="BJ50" s="64">
        <f>CHOOSE($E50,SUMPRODUCT((BJ51:BJ$65)*($M51:$M$65)*($C51:AY$65=$B50)),IF(NOT(ISNUMBER(Data!BC48)),0,ABS(($F50*100)-(Data!BC48-$I50)*$K50)),ABS(($F50*100)-(Data!BC48-$G50)*$K50))</f>
        <v>100</v>
      </c>
      <c r="BK50" s="64">
        <f>CHOOSE($E50,SUMPRODUCT((BK51:BK$65)*($M51:$M$65)*($C51:AZ$65=$B50)),IF(NOT(ISNUMBER(Data!BD48)),0,ABS(($F50*100)-(Data!BD48-$I50)*$K50)),ABS(($F50*100)-(Data!BD48-$G50)*$K50))</f>
        <v>100</v>
      </c>
      <c r="BM50" s="65"/>
    </row>
    <row r="51" s="22" customFormat="1" spans="1:65">
      <c r="A51" s="24"/>
      <c r="B51" s="24" t="str">
        <f>tblIndicators!B44</f>
        <v>PERSAF_IP_02</v>
      </c>
      <c r="C51" s="24" t="str">
        <f>tblIndicators!C44</f>
        <v>PERSAF_IP</v>
      </c>
      <c r="D51" s="52">
        <f>tblIndicators!D44</f>
        <v>3</v>
      </c>
      <c r="E51" s="52">
        <f>tblIndicators!M44</f>
        <v>2</v>
      </c>
      <c r="F51" s="52">
        <f>tblIndicators!N44</f>
        <v>0</v>
      </c>
      <c r="G51" s="52">
        <f>tblIndicators!Q44</f>
        <v>0</v>
      </c>
      <c r="H51" s="52">
        <f>tblIndicators!R44</f>
        <v>0</v>
      </c>
      <c r="I51" s="52">
        <f>IF($E51=2,MIN(Data!G49:BD49),"")</f>
        <v>0</v>
      </c>
      <c r="J51" s="52">
        <f>IF($E51=2,MAX(Data!G49:BD49),"")</f>
        <v>1</v>
      </c>
      <c r="K51" s="54">
        <f t="shared" si="3"/>
        <v>100</v>
      </c>
      <c r="L51" s="62" t="str">
        <f>tblIndicators!Z44</f>
        <v>4.1.2) Community-based patrolling</v>
      </c>
      <c r="M51" s="63">
        <f>tblIndicators!AC44</f>
        <v>0.142857142857143</v>
      </c>
      <c r="N51" s="64">
        <f>CHOOSE($E51,SUMPRODUCT((N52:N$65)*($M52:$M$65)*($C52:C$65=$B51)),IF(NOT(ISNUMBER(Data!G49)),0,ABS(($F51*100)-(Data!G49-$I51)*$K51)),ABS(($F51*100)-(Data!G49-$G51)*$K51))</f>
        <v>100</v>
      </c>
      <c r="O51" s="64">
        <f>CHOOSE($E51,SUMPRODUCT((O52:O$65)*($M52:$M$65)*($C52:D$65=$B51)),IF(NOT(ISNUMBER(Data!H49)),0,ABS(($F51*100)-(Data!H49-$I51)*$K51)),ABS(($F51*100)-(Data!H49-$G51)*$K51))</f>
        <v>100</v>
      </c>
      <c r="P51" s="64">
        <f>CHOOSE($E51,SUMPRODUCT((P52:P$65)*($M52:$M$65)*($C52:E$65=$B51)),IF(NOT(ISNUMBER(Data!I49)),0,ABS(($F51*100)-(Data!I49-$I51)*$K51)),ABS(($F51*100)-(Data!I49-$G51)*$K51))</f>
        <v>100</v>
      </c>
      <c r="Q51" s="64">
        <f>CHOOSE($E51,SUMPRODUCT((Q52:Q$65)*($M52:$M$65)*($C52:F$65=$B51)),IF(NOT(ISNUMBER(Data!J49)),0,ABS(($F51*100)-(Data!J49-$I51)*$K51)),ABS(($F51*100)-(Data!J49-$G51)*$K51))</f>
        <v>100</v>
      </c>
      <c r="R51" s="64">
        <f>CHOOSE($E51,SUMPRODUCT((R52:R$65)*($M52:$M$65)*($C52:G$65=$B51)),IF(NOT(ISNUMBER(Data!K49)),0,ABS(($F51*100)-(Data!K49-$I51)*$K51)),ABS(($F51*100)-(Data!K49-$G51)*$K51))</f>
        <v>100</v>
      </c>
      <c r="S51" s="64">
        <f>CHOOSE($E51,SUMPRODUCT((S52:S$65)*($M52:$M$65)*($C52:H$65=$B51)),IF(NOT(ISNUMBER(Data!L49)),0,ABS(($F51*100)-(Data!L49-$I51)*$K51)),ABS(($F51*100)-(Data!L49-$G51)*$K51))</f>
        <v>100</v>
      </c>
      <c r="T51" s="64">
        <f>CHOOSE($E51,SUMPRODUCT((T52:T$65)*($M52:$M$65)*($C52:I$65=$B51)),IF(NOT(ISNUMBER(Data!M49)),0,ABS(($F51*100)-(Data!M49-$I51)*$K51)),ABS(($F51*100)-(Data!M49-$G51)*$K51))</f>
        <v>100</v>
      </c>
      <c r="U51" s="64">
        <f>CHOOSE($E51,SUMPRODUCT((U52:U$65)*($M52:$M$65)*($C52:J$65=$B51)),IF(NOT(ISNUMBER(Data!N49)),0,ABS(($F51*100)-(Data!N49-$I51)*$K51)),ABS(($F51*100)-(Data!N49-$G51)*$K51))</f>
        <v>100</v>
      </c>
      <c r="V51" s="64">
        <f>CHOOSE($E51,SUMPRODUCT((V52:V$65)*($M52:$M$65)*($C52:K$65=$B51)),IF(NOT(ISNUMBER(Data!O49)),0,ABS(($F51*100)-(Data!O49-$I51)*$K51)),ABS(($F51*100)-(Data!O49-$G51)*$K51))</f>
        <v>100</v>
      </c>
      <c r="W51" s="64">
        <f>CHOOSE($E51,SUMPRODUCT((W52:W$65)*($M52:$M$65)*($C52:L$65=$B51)),IF(NOT(ISNUMBER(Data!P49)),0,ABS(($F51*100)-(Data!P49-$I51)*$K51)),ABS(($F51*100)-(Data!P49-$G51)*$K51))</f>
        <v>100</v>
      </c>
      <c r="X51" s="64">
        <f>CHOOSE($E51,SUMPRODUCT((X52:X$65)*($M52:$M$65)*($C52:M$65=$B51)),IF(NOT(ISNUMBER(Data!Q49)),0,ABS(($F51*100)-(Data!Q49-$I51)*$K51)),ABS(($F51*100)-(Data!Q49-$G51)*$K51))</f>
        <v>100</v>
      </c>
      <c r="Y51" s="64">
        <f>CHOOSE($E51,SUMPRODUCT((Y52:Y$65)*($M52:$M$65)*($C52:N$65=$B51)),IF(NOT(ISNUMBER(Data!R49)),0,ABS(($F51*100)-(Data!R49-$I51)*$K51)),ABS(($F51*100)-(Data!R49-$G51)*$K51))</f>
        <v>100</v>
      </c>
      <c r="Z51" s="64">
        <f>CHOOSE($E51,SUMPRODUCT((Z52:Z$65)*($M52:$M$65)*($C52:O$65=$B51)),IF(NOT(ISNUMBER(Data!S49)),0,ABS(($F51*100)-(Data!S49-$I51)*$K51)),ABS(($F51*100)-(Data!S49-$G51)*$K51))</f>
        <v>100</v>
      </c>
      <c r="AA51" s="64">
        <f>CHOOSE($E51,SUMPRODUCT((AA52:AA$65)*($M52:$M$65)*($C52:P$65=$B51)),IF(NOT(ISNUMBER(Data!T49)),0,ABS(($F51*100)-(Data!T49-$I51)*$K51)),ABS(($F51*100)-(Data!T49-$G51)*$K51))</f>
        <v>100</v>
      </c>
      <c r="AB51" s="64">
        <f>CHOOSE($E51,SUMPRODUCT((AB52:AB$65)*($M52:$M$65)*($C52:Q$65=$B51)),IF(NOT(ISNUMBER(Data!U49)),0,ABS(($F51*100)-(Data!U49-$I51)*$K51)),ABS(($F51*100)-(Data!U49-$G51)*$K51))</f>
        <v>100</v>
      </c>
      <c r="AC51" s="64">
        <f>CHOOSE($E51,SUMPRODUCT((AC52:AC$65)*($M52:$M$65)*($C52:R$65=$B51)),IF(NOT(ISNUMBER(Data!V49)),0,ABS(($F51*100)-(Data!V49-$I51)*$K51)),ABS(($F51*100)-(Data!V49-$G51)*$K51))</f>
        <v>100</v>
      </c>
      <c r="AD51" s="64">
        <f>CHOOSE($E51,SUMPRODUCT((AD52:AD$65)*($M52:$M$65)*($C52:S$65=$B51)),IF(NOT(ISNUMBER(Data!W49)),0,ABS(($F51*100)-(Data!W49-$I51)*$K51)),ABS(($F51*100)-(Data!W49-$G51)*$K51))</f>
        <v>100</v>
      </c>
      <c r="AE51" s="64">
        <f>CHOOSE($E51,SUMPRODUCT((AE52:AE$65)*($M52:$M$65)*($C52:T$65=$B51)),IF(NOT(ISNUMBER(Data!X49)),0,ABS(($F51*100)-(Data!X49-$I51)*$K51)),ABS(($F51*100)-(Data!X49-$G51)*$K51))</f>
        <v>100</v>
      </c>
      <c r="AF51" s="64">
        <f>CHOOSE($E51,SUMPRODUCT((AF52:AF$65)*($M52:$M$65)*($C52:U$65=$B51)),IF(NOT(ISNUMBER(Data!Y49)),0,ABS(($F51*100)-(Data!Y49-$I51)*$K51)),ABS(($F51*100)-(Data!Y49-$G51)*$K51))</f>
        <v>100</v>
      </c>
      <c r="AG51" s="64">
        <f>CHOOSE($E51,SUMPRODUCT((AG52:AG$65)*($M52:$M$65)*($C52:V$65=$B51)),IF(NOT(ISNUMBER(Data!Z49)),0,ABS(($F51*100)-(Data!Z49-$I51)*$K51)),ABS(($F51*100)-(Data!Z49-$G51)*$K51))</f>
        <v>100</v>
      </c>
      <c r="AH51" s="64">
        <f>CHOOSE($E51,SUMPRODUCT((AH52:AH$65)*($M52:$M$65)*($C52:W$65=$B51)),IF(NOT(ISNUMBER(Data!AA49)),0,ABS(($F51*100)-(Data!AA49-$I51)*$K51)),ABS(($F51*100)-(Data!AA49-$G51)*$K51))</f>
        <v>100</v>
      </c>
      <c r="AI51" s="64">
        <f>CHOOSE($E51,SUMPRODUCT((AI52:AI$65)*($M52:$M$65)*($C52:X$65=$B51)),IF(NOT(ISNUMBER(Data!AB49)),0,ABS(($F51*100)-(Data!AB49-$I51)*$K51)),ABS(($F51*100)-(Data!AB49-$G51)*$K51))</f>
        <v>100</v>
      </c>
      <c r="AJ51" s="64">
        <f>CHOOSE($E51,SUMPRODUCT((AJ52:AJ$65)*($M52:$M$65)*($C52:Y$65=$B51)),IF(NOT(ISNUMBER(Data!AC49)),0,ABS(($F51*100)-(Data!AC49-$I51)*$K51)),ABS(($F51*100)-(Data!AC49-$G51)*$K51))</f>
        <v>100</v>
      </c>
      <c r="AK51" s="64">
        <f>CHOOSE($E51,SUMPRODUCT((AK52:AK$65)*($M52:$M$65)*($C52:Z$65=$B51)),IF(NOT(ISNUMBER(Data!AD49)),0,ABS(($F51*100)-(Data!AD49-$I51)*$K51)),ABS(($F51*100)-(Data!AD49-$G51)*$K51))</f>
        <v>100</v>
      </c>
      <c r="AL51" s="64">
        <f>CHOOSE($E51,SUMPRODUCT((AL52:AL$65)*($M52:$M$65)*($C52:AA$65=$B51)),IF(NOT(ISNUMBER(Data!AE49)),0,ABS(($F51*100)-(Data!AE49-$I51)*$K51)),ABS(($F51*100)-(Data!AE49-$G51)*$K51))</f>
        <v>100</v>
      </c>
      <c r="AM51" s="64">
        <f>CHOOSE($E51,SUMPRODUCT((AM52:AM$65)*($M52:$M$65)*($C52:AB$65=$B51)),IF(NOT(ISNUMBER(Data!AF49)),0,ABS(($F51*100)-(Data!AF49-$I51)*$K51)),ABS(($F51*100)-(Data!AF49-$G51)*$K51))</f>
        <v>100</v>
      </c>
      <c r="AN51" s="64">
        <f>CHOOSE($E51,SUMPRODUCT((AN52:AN$65)*($M52:$M$65)*($C52:AC$65=$B51)),IF(NOT(ISNUMBER(Data!AG49)),0,ABS(($F51*100)-(Data!AG49-$I51)*$K51)),ABS(($F51*100)-(Data!AG49-$G51)*$K51))</f>
        <v>0</v>
      </c>
      <c r="AO51" s="64">
        <f>CHOOSE($E51,SUMPRODUCT((AO52:AO$65)*($M52:$M$65)*($C52:AD$65=$B51)),IF(NOT(ISNUMBER(Data!AH49)),0,ABS(($F51*100)-(Data!AH49-$I51)*$K51)),ABS(($F51*100)-(Data!AH49-$G51)*$K51))</f>
        <v>100</v>
      </c>
      <c r="AP51" s="64">
        <f>CHOOSE($E51,SUMPRODUCT((AP52:AP$65)*($M52:$M$65)*($C52:AE$65=$B51)),IF(NOT(ISNUMBER(Data!AI49)),0,ABS(($F51*100)-(Data!AI49-$I51)*$K51)),ABS(($F51*100)-(Data!AI49-$G51)*$K51))</f>
        <v>100</v>
      </c>
      <c r="AQ51" s="64">
        <f>CHOOSE($E51,SUMPRODUCT((AQ52:AQ$65)*($M52:$M$65)*($C52:AF$65=$B51)),IF(NOT(ISNUMBER(Data!AJ49)),0,ABS(($F51*100)-(Data!AJ49-$I51)*$K51)),ABS(($F51*100)-(Data!AJ49-$G51)*$K51))</f>
        <v>100</v>
      </c>
      <c r="AR51" s="64">
        <f>CHOOSE($E51,SUMPRODUCT((AR52:AR$65)*($M52:$M$65)*($C52:AG$65=$B51)),IF(NOT(ISNUMBER(Data!AK49)),0,ABS(($F51*100)-(Data!AK49-$I51)*$K51)),ABS(($F51*100)-(Data!AK49-$G51)*$K51))</f>
        <v>100</v>
      </c>
      <c r="AS51" s="64">
        <f>CHOOSE($E51,SUMPRODUCT((AS52:AS$65)*($M52:$M$65)*($C52:AH$65=$B51)),IF(NOT(ISNUMBER(Data!AL49)),0,ABS(($F51*100)-(Data!AL49-$I51)*$K51)),ABS(($F51*100)-(Data!AL49-$G51)*$K51))</f>
        <v>100</v>
      </c>
      <c r="AT51" s="64">
        <f>CHOOSE($E51,SUMPRODUCT((AT52:AT$65)*($M52:$M$65)*($C52:AI$65=$B51)),IF(NOT(ISNUMBER(Data!AM49)),0,ABS(($F51*100)-(Data!AM49-$I51)*$K51)),ABS(($F51*100)-(Data!AM49-$G51)*$K51))</f>
        <v>100</v>
      </c>
      <c r="AU51" s="64">
        <f>CHOOSE($E51,SUMPRODUCT((AU52:AU$65)*($M52:$M$65)*($C52:AJ$65=$B51)),IF(NOT(ISNUMBER(Data!AN49)),0,ABS(($F51*100)-(Data!AN49-$I51)*$K51)),ABS(($F51*100)-(Data!AN49-$G51)*$K51))</f>
        <v>100</v>
      </c>
      <c r="AV51" s="64">
        <f>CHOOSE($E51,SUMPRODUCT((AV52:AV$65)*($M52:$M$65)*($C52:AK$65=$B51)),IF(NOT(ISNUMBER(Data!AO49)),0,ABS(($F51*100)-(Data!AO49-$I51)*$K51)),ABS(($F51*100)-(Data!AO49-$G51)*$K51))</f>
        <v>0</v>
      </c>
      <c r="AW51" s="64">
        <f>CHOOSE($E51,SUMPRODUCT((AW52:AW$65)*($M52:$M$65)*($C52:AL$65=$B51)),IF(NOT(ISNUMBER(Data!AP49)),0,ABS(($F51*100)-(Data!AP49-$I51)*$K51)),ABS(($F51*100)-(Data!AP49-$G51)*$K51))</f>
        <v>100</v>
      </c>
      <c r="AX51" s="64">
        <f>CHOOSE($E51,SUMPRODUCT((AX52:AX$65)*($M52:$M$65)*($C52:AM$65=$B51)),IF(NOT(ISNUMBER(Data!AQ49)),0,ABS(($F51*100)-(Data!AQ49-$I51)*$K51)),ABS(($F51*100)-(Data!AQ49-$G51)*$K51))</f>
        <v>0</v>
      </c>
      <c r="AY51" s="64">
        <f>CHOOSE($E51,SUMPRODUCT((AY52:AY$65)*($M52:$M$65)*($C52:AN$65=$B51)),IF(NOT(ISNUMBER(Data!AR49)),0,ABS(($F51*100)-(Data!AR49-$I51)*$K51)),ABS(($F51*100)-(Data!AR49-$G51)*$K51))</f>
        <v>100</v>
      </c>
      <c r="AZ51" s="64">
        <f>CHOOSE($E51,SUMPRODUCT((AZ52:AZ$65)*($M52:$M$65)*($C52:AO$65=$B51)),IF(NOT(ISNUMBER(Data!AS49)),0,ABS(($F51*100)-(Data!AS49-$I51)*$K51)),ABS(($F51*100)-(Data!AS49-$G51)*$K51))</f>
        <v>100</v>
      </c>
      <c r="BA51" s="64">
        <f>CHOOSE($E51,SUMPRODUCT((BA52:BA$65)*($M52:$M$65)*($C52:AP$65=$B51)),IF(NOT(ISNUMBER(Data!AT49)),0,ABS(($F51*100)-(Data!AT49-$I51)*$K51)),ABS(($F51*100)-(Data!AT49-$G51)*$K51))</f>
        <v>100</v>
      </c>
      <c r="BB51" s="64">
        <f>CHOOSE($E51,SUMPRODUCT((BB52:BB$65)*($M52:$M$65)*($C52:AQ$65=$B51)),IF(NOT(ISNUMBER(Data!AU49)),0,ABS(($F51*100)-(Data!AU49-$I51)*$K51)),ABS(($F51*100)-(Data!AU49-$G51)*$K51))</f>
        <v>100</v>
      </c>
      <c r="BC51" s="64">
        <f>CHOOSE($E51,SUMPRODUCT((BC52:BC$65)*($M52:$M$65)*($C52:AR$65=$B51)),IF(NOT(ISNUMBER(Data!AV49)),0,ABS(($F51*100)-(Data!AV49-$I51)*$K51)),ABS(($F51*100)-(Data!AV49-$G51)*$K51))</f>
        <v>100</v>
      </c>
      <c r="BD51" s="64">
        <f>CHOOSE($E51,SUMPRODUCT((BD52:BD$65)*($M52:$M$65)*($C52:AS$65=$B51)),IF(NOT(ISNUMBER(Data!AW49)),0,ABS(($F51*100)-(Data!AW49-$I51)*$K51)),ABS(($F51*100)-(Data!AW49-$G51)*$K51))</f>
        <v>100</v>
      </c>
      <c r="BE51" s="64">
        <f>CHOOSE($E51,SUMPRODUCT((BE52:BE$65)*($M52:$M$65)*($C52:AT$65=$B51)),IF(NOT(ISNUMBER(Data!AX49)),0,ABS(($F51*100)-(Data!AX49-$I51)*$K51)),ABS(($F51*100)-(Data!AX49-$G51)*$K51))</f>
        <v>100</v>
      </c>
      <c r="BF51" s="64">
        <f>CHOOSE($E51,SUMPRODUCT((BF52:BF$65)*($M52:$M$65)*($C52:AU$65=$B51)),IF(NOT(ISNUMBER(Data!AY49)),0,ABS(($F51*100)-(Data!AY49-$I51)*$K51)),ABS(($F51*100)-(Data!AY49-$G51)*$K51))</f>
        <v>100</v>
      </c>
      <c r="BG51" s="64">
        <f>CHOOSE($E51,SUMPRODUCT((BG52:BG$65)*($M52:$M$65)*($C52:AV$65=$B51)),IF(NOT(ISNUMBER(Data!AZ49)),0,ABS(($F51*100)-(Data!AZ49-$I51)*$K51)),ABS(($F51*100)-(Data!AZ49-$G51)*$K51))</f>
        <v>100</v>
      </c>
      <c r="BH51" s="64">
        <f>CHOOSE($E51,SUMPRODUCT((BH52:BH$65)*($M52:$M$65)*($C52:AW$65=$B51)),IF(NOT(ISNUMBER(Data!BA49)),0,ABS(($F51*100)-(Data!BA49-$I51)*$K51)),ABS(($F51*100)-(Data!BA49-$G51)*$K51))</f>
        <v>100</v>
      </c>
      <c r="BI51" s="64">
        <f>CHOOSE($E51,SUMPRODUCT((BI52:BI$65)*($M52:$M$65)*($C52:AX$65=$B51)),IF(NOT(ISNUMBER(Data!BB49)),0,ABS(($F51*100)-(Data!BB49-$I51)*$K51)),ABS(($F51*100)-(Data!BB49-$G51)*$K51))</f>
        <v>100</v>
      </c>
      <c r="BJ51" s="64">
        <f>CHOOSE($E51,SUMPRODUCT((BJ52:BJ$65)*($M52:$M$65)*($C52:AY$65=$B51)),IF(NOT(ISNUMBER(Data!BC49)),0,ABS(($F51*100)-(Data!BC49-$I51)*$K51)),ABS(($F51*100)-(Data!BC49-$G51)*$K51))</f>
        <v>100</v>
      </c>
      <c r="BK51" s="64">
        <f>CHOOSE($E51,SUMPRODUCT((BK52:BK$65)*($M52:$M$65)*($C52:AZ$65=$B51)),IF(NOT(ISNUMBER(Data!BD49)),0,ABS(($F51*100)-(Data!BD49-$I51)*$K51)),ABS(($F51*100)-(Data!BD49-$G51)*$K51))</f>
        <v>100</v>
      </c>
      <c r="BM51" s="65"/>
    </row>
    <row r="52" s="22" customFormat="1" spans="1:65">
      <c r="A52" s="24"/>
      <c r="B52" s="24" t="str">
        <f>tblIndicators!B45</f>
        <v>PERSAF_IP_03</v>
      </c>
      <c r="C52" s="24" t="str">
        <f>tblIndicators!C45</f>
        <v>PERSAF_IP</v>
      </c>
      <c r="D52" s="52">
        <f>tblIndicators!D45</f>
        <v>3</v>
      </c>
      <c r="E52" s="52">
        <f>tblIndicators!M45</f>
        <v>2</v>
      </c>
      <c r="F52" s="52">
        <f>tblIndicators!N45</f>
        <v>0</v>
      </c>
      <c r="G52" s="52">
        <f>tblIndicators!Q45</f>
        <v>0</v>
      </c>
      <c r="H52" s="52">
        <f>tblIndicators!R45</f>
        <v>0</v>
      </c>
      <c r="I52" s="52">
        <f>IF($E52=2,MIN(Data!G50:BD50),"")</f>
        <v>0</v>
      </c>
      <c r="J52" s="52">
        <f>IF($E52=2,MAX(Data!G50:BD50),"")</f>
        <v>1</v>
      </c>
      <c r="K52" s="54">
        <f t="shared" si="3"/>
        <v>100</v>
      </c>
      <c r="L52" s="62" t="str">
        <f>tblIndicators!Z45</f>
        <v>4.1.3) Availability of street-level crime data</v>
      </c>
      <c r="M52" s="63">
        <f>tblIndicators!AC45</f>
        <v>0.142857142857143</v>
      </c>
      <c r="N52" s="64">
        <f>CHOOSE($E52,SUMPRODUCT((N53:N$65)*($M53:$M$65)*($C53:C$65=$B52)),IF(NOT(ISNUMBER(Data!G50)),0,ABS(($F52*100)-(Data!G50-$I52)*$K52)),ABS(($F52*100)-(Data!G50-$G52)*$K52))</f>
        <v>100</v>
      </c>
      <c r="O52" s="64">
        <f>CHOOSE($E52,SUMPRODUCT((O53:O$65)*($M53:$M$65)*($C53:D$65=$B52)),IF(NOT(ISNUMBER(Data!H50)),0,ABS(($F52*100)-(Data!H50-$I52)*$K52)),ABS(($F52*100)-(Data!H50-$G52)*$K52))</f>
        <v>100</v>
      </c>
      <c r="P52" s="64">
        <f>CHOOSE($E52,SUMPRODUCT((P53:P$65)*($M53:$M$65)*($C53:E$65=$B52)),IF(NOT(ISNUMBER(Data!I50)),0,ABS(($F52*100)-(Data!I50-$I52)*$K52)),ABS(($F52*100)-(Data!I50-$G52)*$K52))</f>
        <v>0</v>
      </c>
      <c r="Q52" s="64">
        <f>CHOOSE($E52,SUMPRODUCT((Q53:Q$65)*($M53:$M$65)*($C53:F$65=$B52)),IF(NOT(ISNUMBER(Data!J50)),0,ABS(($F52*100)-(Data!J50-$I52)*$K52)),ABS(($F52*100)-(Data!J50-$G52)*$K52))</f>
        <v>0</v>
      </c>
      <c r="R52" s="64">
        <f>CHOOSE($E52,SUMPRODUCT((R53:R$65)*($M53:$M$65)*($C53:G$65=$B52)),IF(NOT(ISNUMBER(Data!K50)),0,ABS(($F52*100)-(Data!K50-$I52)*$K52)),ABS(($F52*100)-(Data!K50-$G52)*$K52))</f>
        <v>100</v>
      </c>
      <c r="S52" s="64">
        <f>CHOOSE($E52,SUMPRODUCT((S53:S$65)*($M53:$M$65)*($C53:H$65=$B52)),IF(NOT(ISNUMBER(Data!L50)),0,ABS(($F52*100)-(Data!L50-$I52)*$K52)),ABS(($F52*100)-(Data!L50-$G52)*$K52))</f>
        <v>100</v>
      </c>
      <c r="T52" s="64">
        <f>CHOOSE($E52,SUMPRODUCT((T53:T$65)*($M53:$M$65)*($C53:I$65=$B52)),IF(NOT(ISNUMBER(Data!M50)),0,ABS(($F52*100)-(Data!M50-$I52)*$K52)),ABS(($F52*100)-(Data!M50-$G52)*$K52))</f>
        <v>100</v>
      </c>
      <c r="U52" s="64">
        <f>CHOOSE($E52,SUMPRODUCT((U53:U$65)*($M53:$M$65)*($C53:J$65=$B52)),IF(NOT(ISNUMBER(Data!N50)),0,ABS(($F52*100)-(Data!N50-$I52)*$K52)),ABS(($F52*100)-(Data!N50-$G52)*$K52))</f>
        <v>100</v>
      </c>
      <c r="V52" s="64">
        <f>CHOOSE($E52,SUMPRODUCT((V53:V$65)*($M53:$M$65)*($C53:K$65=$B52)),IF(NOT(ISNUMBER(Data!O50)),0,ABS(($F52*100)-(Data!O50-$I52)*$K52)),ABS(($F52*100)-(Data!O50-$G52)*$K52))</f>
        <v>100</v>
      </c>
      <c r="W52" s="64">
        <f>CHOOSE($E52,SUMPRODUCT((W53:W$65)*($M53:$M$65)*($C53:L$65=$B52)),IF(NOT(ISNUMBER(Data!P50)),0,ABS(($F52*100)-(Data!P50-$I52)*$K52)),ABS(($F52*100)-(Data!P50-$G52)*$K52))</f>
        <v>100</v>
      </c>
      <c r="X52" s="64">
        <f>CHOOSE($E52,SUMPRODUCT((X53:X$65)*($M53:$M$65)*($C53:M$65=$B52)),IF(NOT(ISNUMBER(Data!Q50)),0,ABS(($F52*100)-(Data!Q50-$I52)*$K52)),ABS(($F52*100)-(Data!Q50-$G52)*$K52))</f>
        <v>0</v>
      </c>
      <c r="Y52" s="64">
        <f>CHOOSE($E52,SUMPRODUCT((Y53:Y$65)*($M53:$M$65)*($C53:N$65=$B52)),IF(NOT(ISNUMBER(Data!R50)),0,ABS(($F52*100)-(Data!R50-$I52)*$K52)),ABS(($F52*100)-(Data!R50-$G52)*$K52))</f>
        <v>100</v>
      </c>
      <c r="Z52" s="64">
        <f>CHOOSE($E52,SUMPRODUCT((Z53:Z$65)*($M53:$M$65)*($C53:O$65=$B52)),IF(NOT(ISNUMBER(Data!S50)),0,ABS(($F52*100)-(Data!S50-$I52)*$K52)),ABS(($F52*100)-(Data!S50-$G52)*$K52))</f>
        <v>0</v>
      </c>
      <c r="AA52" s="64">
        <f>CHOOSE($E52,SUMPRODUCT((AA53:AA$65)*($M53:$M$65)*($C53:P$65=$B52)),IF(NOT(ISNUMBER(Data!T50)),0,ABS(($F52*100)-(Data!T50-$I52)*$K52)),ABS(($F52*100)-(Data!T50-$G52)*$K52))</f>
        <v>100</v>
      </c>
      <c r="AB52" s="64">
        <f>CHOOSE($E52,SUMPRODUCT((AB53:AB$65)*($M53:$M$65)*($C53:Q$65=$B52)),IF(NOT(ISNUMBER(Data!U50)),0,ABS(($F52*100)-(Data!U50-$I52)*$K52)),ABS(($F52*100)-(Data!U50-$G52)*$K52))</f>
        <v>100</v>
      </c>
      <c r="AC52" s="64">
        <f>CHOOSE($E52,SUMPRODUCT((AC53:AC$65)*($M53:$M$65)*($C53:R$65=$B52)),IF(NOT(ISNUMBER(Data!V50)),0,ABS(($F52*100)-(Data!V50-$I52)*$K52)),ABS(($F52*100)-(Data!V50-$G52)*$K52))</f>
        <v>100</v>
      </c>
      <c r="AD52" s="64">
        <f>CHOOSE($E52,SUMPRODUCT((AD53:AD$65)*($M53:$M$65)*($C53:S$65=$B52)),IF(NOT(ISNUMBER(Data!W50)),0,ABS(($F52*100)-(Data!W50-$I52)*$K52)),ABS(($F52*100)-(Data!W50-$G52)*$K52))</f>
        <v>100</v>
      </c>
      <c r="AE52" s="64">
        <f>CHOOSE($E52,SUMPRODUCT((AE53:AE$65)*($M53:$M$65)*($C53:T$65=$B52)),IF(NOT(ISNUMBER(Data!X50)),0,ABS(($F52*100)-(Data!X50-$I52)*$K52)),ABS(($F52*100)-(Data!X50-$G52)*$K52))</f>
        <v>100</v>
      </c>
      <c r="AF52" s="64">
        <f>CHOOSE($E52,SUMPRODUCT((AF53:AF$65)*($M53:$M$65)*($C53:U$65=$B52)),IF(NOT(ISNUMBER(Data!Y50)),0,ABS(($F52*100)-(Data!Y50-$I52)*$K52)),ABS(($F52*100)-(Data!Y50-$G52)*$K52))</f>
        <v>0</v>
      </c>
      <c r="AG52" s="64">
        <f>CHOOSE($E52,SUMPRODUCT((AG53:AG$65)*($M53:$M$65)*($C53:V$65=$B52)),IF(NOT(ISNUMBER(Data!Z50)),0,ABS(($F52*100)-(Data!Z50-$I52)*$K52)),ABS(($F52*100)-(Data!Z50-$G52)*$K52))</f>
        <v>0</v>
      </c>
      <c r="AH52" s="64">
        <f>CHOOSE($E52,SUMPRODUCT((AH53:AH$65)*($M53:$M$65)*($C53:W$65=$B52)),IF(NOT(ISNUMBER(Data!AA50)),0,ABS(($F52*100)-(Data!AA50-$I52)*$K52)),ABS(($F52*100)-(Data!AA50-$G52)*$K52))</f>
        <v>0</v>
      </c>
      <c r="AI52" s="64">
        <f>CHOOSE($E52,SUMPRODUCT((AI53:AI$65)*($M53:$M$65)*($C53:X$65=$B52)),IF(NOT(ISNUMBER(Data!AB50)),0,ABS(($F52*100)-(Data!AB50-$I52)*$K52)),ABS(($F52*100)-(Data!AB50-$G52)*$K52))</f>
        <v>0</v>
      </c>
      <c r="AJ52" s="64">
        <f>CHOOSE($E52,SUMPRODUCT((AJ53:AJ$65)*($M53:$M$65)*($C53:Y$65=$B52)),IF(NOT(ISNUMBER(Data!AC50)),0,ABS(($F52*100)-(Data!AC50-$I52)*$K52)),ABS(($F52*100)-(Data!AC50-$G52)*$K52))</f>
        <v>0</v>
      </c>
      <c r="AK52" s="64">
        <f>CHOOSE($E52,SUMPRODUCT((AK53:AK$65)*($M53:$M$65)*($C53:Z$65=$B52)),IF(NOT(ISNUMBER(Data!AD50)),0,ABS(($F52*100)-(Data!AD50-$I52)*$K52)),ABS(($F52*100)-(Data!AD50-$G52)*$K52))</f>
        <v>100</v>
      </c>
      <c r="AL52" s="64">
        <f>CHOOSE($E52,SUMPRODUCT((AL53:AL$65)*($M53:$M$65)*($C53:AA$65=$B52)),IF(NOT(ISNUMBER(Data!AE50)),0,ABS(($F52*100)-(Data!AE50-$I52)*$K52)),ABS(($F52*100)-(Data!AE50-$G52)*$K52))</f>
        <v>0</v>
      </c>
      <c r="AM52" s="64">
        <f>CHOOSE($E52,SUMPRODUCT((AM53:AM$65)*($M53:$M$65)*($C53:AB$65=$B52)),IF(NOT(ISNUMBER(Data!AF50)),0,ABS(($F52*100)-(Data!AF50-$I52)*$K52)),ABS(($F52*100)-(Data!AF50-$G52)*$K52))</f>
        <v>100</v>
      </c>
      <c r="AN52" s="64">
        <f>CHOOSE($E52,SUMPRODUCT((AN53:AN$65)*($M53:$M$65)*($C53:AC$65=$B52)),IF(NOT(ISNUMBER(Data!AG50)),0,ABS(($F52*100)-(Data!AG50-$I52)*$K52)),ABS(($F52*100)-(Data!AG50-$G52)*$K52))</f>
        <v>0</v>
      </c>
      <c r="AO52" s="64">
        <f>CHOOSE($E52,SUMPRODUCT((AO53:AO$65)*($M53:$M$65)*($C53:AD$65=$B52)),IF(NOT(ISNUMBER(Data!AH50)),0,ABS(($F52*100)-(Data!AH50-$I52)*$K52)),ABS(($F52*100)-(Data!AH50-$G52)*$K52))</f>
        <v>100</v>
      </c>
      <c r="AP52" s="64">
        <f>CHOOSE($E52,SUMPRODUCT((AP53:AP$65)*($M53:$M$65)*($C53:AE$65=$B52)),IF(NOT(ISNUMBER(Data!AI50)),0,ABS(($F52*100)-(Data!AI50-$I52)*$K52)),ABS(($F52*100)-(Data!AI50-$G52)*$K52))</f>
        <v>100</v>
      </c>
      <c r="AQ52" s="64">
        <f>CHOOSE($E52,SUMPRODUCT((AQ53:AQ$65)*($M53:$M$65)*($C53:AF$65=$B52)),IF(NOT(ISNUMBER(Data!AJ50)),0,ABS(($F52*100)-(Data!AJ50-$I52)*$K52)),ABS(($F52*100)-(Data!AJ50-$G52)*$K52))</f>
        <v>100</v>
      </c>
      <c r="AR52" s="64">
        <f>CHOOSE($E52,SUMPRODUCT((AR53:AR$65)*($M53:$M$65)*($C53:AG$65=$B52)),IF(NOT(ISNUMBER(Data!AK50)),0,ABS(($F52*100)-(Data!AK50-$I52)*$K52)),ABS(($F52*100)-(Data!AK50-$G52)*$K52))</f>
        <v>0</v>
      </c>
      <c r="AS52" s="64">
        <f>CHOOSE($E52,SUMPRODUCT((AS53:AS$65)*($M53:$M$65)*($C53:AH$65=$B52)),IF(NOT(ISNUMBER(Data!AL50)),0,ABS(($F52*100)-(Data!AL50-$I52)*$K52)),ABS(($F52*100)-(Data!AL50-$G52)*$K52))</f>
        <v>100</v>
      </c>
      <c r="AT52" s="64">
        <f>CHOOSE($E52,SUMPRODUCT((AT53:AT$65)*($M53:$M$65)*($C53:AI$65=$B52)),IF(NOT(ISNUMBER(Data!AM50)),0,ABS(($F52*100)-(Data!AM50-$I52)*$K52)),ABS(($F52*100)-(Data!AM50-$G52)*$K52))</f>
        <v>100</v>
      </c>
      <c r="AU52" s="64">
        <f>CHOOSE($E52,SUMPRODUCT((AU53:AU$65)*($M53:$M$65)*($C53:AJ$65=$B52)),IF(NOT(ISNUMBER(Data!AN50)),0,ABS(($F52*100)-(Data!AN50-$I52)*$K52)),ABS(($F52*100)-(Data!AN50-$G52)*$K52))</f>
        <v>0</v>
      </c>
      <c r="AV52" s="64">
        <f>CHOOSE($E52,SUMPRODUCT((AV53:AV$65)*($M53:$M$65)*($C53:AK$65=$B52)),IF(NOT(ISNUMBER(Data!AO50)),0,ABS(($F52*100)-(Data!AO50-$I52)*$K52)),ABS(($F52*100)-(Data!AO50-$G52)*$K52))</f>
        <v>0</v>
      </c>
      <c r="AW52" s="64">
        <f>CHOOSE($E52,SUMPRODUCT((AW53:AW$65)*($M53:$M$65)*($C53:AL$65=$B52)),IF(NOT(ISNUMBER(Data!AP50)),0,ABS(($F52*100)-(Data!AP50-$I52)*$K52)),ABS(($F52*100)-(Data!AP50-$G52)*$K52))</f>
        <v>100</v>
      </c>
      <c r="AX52" s="64">
        <f>CHOOSE($E52,SUMPRODUCT((AX53:AX$65)*($M53:$M$65)*($C53:AM$65=$B52)),IF(NOT(ISNUMBER(Data!AQ50)),0,ABS(($F52*100)-(Data!AQ50-$I52)*$K52)),ABS(($F52*100)-(Data!AQ50-$G52)*$K52))</f>
        <v>0</v>
      </c>
      <c r="AY52" s="64">
        <f>CHOOSE($E52,SUMPRODUCT((AY53:AY$65)*($M53:$M$65)*($C53:AN$65=$B52)),IF(NOT(ISNUMBER(Data!AR50)),0,ABS(($F52*100)-(Data!AR50-$I52)*$K52)),ABS(($F52*100)-(Data!AR50-$G52)*$K52))</f>
        <v>100</v>
      </c>
      <c r="AZ52" s="64">
        <f>CHOOSE($E52,SUMPRODUCT((AZ53:AZ$65)*($M53:$M$65)*($C53:AO$65=$B52)),IF(NOT(ISNUMBER(Data!AS50)),0,ABS(($F52*100)-(Data!AS50-$I52)*$K52)),ABS(($F52*100)-(Data!AS50-$G52)*$K52))</f>
        <v>0</v>
      </c>
      <c r="BA52" s="64">
        <f>CHOOSE($E52,SUMPRODUCT((BA53:BA$65)*($M53:$M$65)*($C53:AP$65=$B52)),IF(NOT(ISNUMBER(Data!AT50)),0,ABS(($F52*100)-(Data!AT50-$I52)*$K52)),ABS(($F52*100)-(Data!AT50-$G52)*$K52))</f>
        <v>100</v>
      </c>
      <c r="BB52" s="64">
        <f>CHOOSE($E52,SUMPRODUCT((BB53:BB$65)*($M53:$M$65)*($C53:AQ$65=$B52)),IF(NOT(ISNUMBER(Data!AU50)),0,ABS(($F52*100)-(Data!AU50-$I52)*$K52)),ABS(($F52*100)-(Data!AU50-$G52)*$K52))</f>
        <v>100</v>
      </c>
      <c r="BC52" s="64">
        <f>CHOOSE($E52,SUMPRODUCT((BC53:BC$65)*($M53:$M$65)*($C53:AR$65=$B52)),IF(NOT(ISNUMBER(Data!AV50)),0,ABS(($F52*100)-(Data!AV50-$I52)*$K52)),ABS(($F52*100)-(Data!AV50-$G52)*$K52))</f>
        <v>100</v>
      </c>
      <c r="BD52" s="64">
        <f>CHOOSE($E52,SUMPRODUCT((BD53:BD$65)*($M53:$M$65)*($C53:AS$65=$B52)),IF(NOT(ISNUMBER(Data!AW50)),0,ABS(($F52*100)-(Data!AW50-$I52)*$K52)),ABS(($F52*100)-(Data!AW50-$G52)*$K52))</f>
        <v>100</v>
      </c>
      <c r="BE52" s="64">
        <f>CHOOSE($E52,SUMPRODUCT((BE53:BE$65)*($M53:$M$65)*($C53:AT$65=$B52)),IF(NOT(ISNUMBER(Data!AX50)),0,ABS(($F52*100)-(Data!AX50-$I52)*$K52)),ABS(($F52*100)-(Data!AX50-$G52)*$K52))</f>
        <v>100</v>
      </c>
      <c r="BF52" s="64">
        <f>CHOOSE($E52,SUMPRODUCT((BF53:BF$65)*($M53:$M$65)*($C53:AU$65=$B52)),IF(NOT(ISNUMBER(Data!AY50)),0,ABS(($F52*100)-(Data!AY50-$I52)*$K52)),ABS(($F52*100)-(Data!AY50-$G52)*$K52))</f>
        <v>0</v>
      </c>
      <c r="BG52" s="64">
        <f>CHOOSE($E52,SUMPRODUCT((BG53:BG$65)*($M53:$M$65)*($C53:AV$65=$B52)),IF(NOT(ISNUMBER(Data!AZ50)),0,ABS(($F52*100)-(Data!AZ50-$I52)*$K52)),ABS(($F52*100)-(Data!AZ50-$G52)*$K52))</f>
        <v>100</v>
      </c>
      <c r="BH52" s="64">
        <f>CHOOSE($E52,SUMPRODUCT((BH53:BH$65)*($M53:$M$65)*($C53:AW$65=$B52)),IF(NOT(ISNUMBER(Data!BA50)),0,ABS(($F52*100)-(Data!BA50-$I52)*$K52)),ABS(($F52*100)-(Data!BA50-$G52)*$K52))</f>
        <v>100</v>
      </c>
      <c r="BI52" s="64">
        <f>CHOOSE($E52,SUMPRODUCT((BI53:BI$65)*($M53:$M$65)*($C53:AX$65=$B52)),IF(NOT(ISNUMBER(Data!BB50)),0,ABS(($F52*100)-(Data!BB50-$I52)*$K52)),ABS(($F52*100)-(Data!BB50-$G52)*$K52))</f>
        <v>100</v>
      </c>
      <c r="BJ52" s="64">
        <f>CHOOSE($E52,SUMPRODUCT((BJ53:BJ$65)*($M53:$M$65)*($C53:AY$65=$B52)),IF(NOT(ISNUMBER(Data!BC50)),0,ABS(($F52*100)-(Data!BC50-$I52)*$K52)),ABS(($F52*100)-(Data!BC50-$G52)*$K52))</f>
        <v>100</v>
      </c>
      <c r="BK52" s="64">
        <f>CHOOSE($E52,SUMPRODUCT((BK53:BK$65)*($M53:$M$65)*($C53:AZ$65=$B52)),IF(NOT(ISNUMBER(Data!BD50)),0,ABS(($F52*100)-(Data!BD50-$I52)*$K52)),ABS(($F52*100)-(Data!BD50-$G52)*$K52))</f>
        <v>100</v>
      </c>
      <c r="BM52" s="65"/>
    </row>
    <row r="53" s="22" customFormat="1" spans="1:65">
      <c r="A53" s="24"/>
      <c r="B53" s="24" t="str">
        <f>tblIndicators!B46</f>
        <v>PERSAF_IP_04</v>
      </c>
      <c r="C53" s="24" t="str">
        <f>tblIndicators!C46</f>
        <v>PERSAF_IP</v>
      </c>
      <c r="D53" s="52">
        <f>tblIndicators!D46</f>
        <v>3</v>
      </c>
      <c r="E53" s="52">
        <f>tblIndicators!M46</f>
        <v>2</v>
      </c>
      <c r="F53" s="52">
        <f>tblIndicators!N46</f>
        <v>0</v>
      </c>
      <c r="G53" s="52">
        <f>tblIndicators!Q46</f>
        <v>0</v>
      </c>
      <c r="H53" s="52">
        <f>tblIndicators!R46</f>
        <v>0</v>
      </c>
      <c r="I53" s="52">
        <f>IF($E53=2,MIN(Data!G51:BD51),"")</f>
        <v>0</v>
      </c>
      <c r="J53" s="52">
        <f>IF($E53=2,MAX(Data!G51:BD51),"")</f>
        <v>1</v>
      </c>
      <c r="K53" s="54">
        <f t="shared" si="3"/>
        <v>100</v>
      </c>
      <c r="L53" s="62" t="str">
        <f>tblIndicators!Z46</f>
        <v>4.1.4) Use of data-driven techniques for crime</v>
      </c>
      <c r="M53" s="63">
        <f>tblIndicators!AC46</f>
        <v>0.142857142857143</v>
      </c>
      <c r="N53" s="64">
        <f>CHOOSE($E53,SUMPRODUCT((N54:N$65)*($M54:$M$65)*($C54:C$65=$B53)),IF(NOT(ISNUMBER(Data!G51)),0,ABS(($F53*100)-(Data!G51-$I53)*$K53)),ABS(($F53*100)-(Data!G51-$G53)*$K53))</f>
        <v>100</v>
      </c>
      <c r="O53" s="64">
        <f>CHOOSE($E53,SUMPRODUCT((O54:O$65)*($M54:$M$65)*($C54:D$65=$B53)),IF(NOT(ISNUMBER(Data!H51)),0,ABS(($F53*100)-(Data!H51-$I53)*$K53)),ABS(($F53*100)-(Data!H51-$G53)*$K53))</f>
        <v>0</v>
      </c>
      <c r="P53" s="64">
        <f>CHOOSE($E53,SUMPRODUCT((P54:P$65)*($M54:$M$65)*($C54:E$65=$B53)),IF(NOT(ISNUMBER(Data!I51)),0,ABS(($F53*100)-(Data!I51-$I53)*$K53)),ABS(($F53*100)-(Data!I51-$G53)*$K53))</f>
        <v>100</v>
      </c>
      <c r="Q53" s="64">
        <f>CHOOSE($E53,SUMPRODUCT((Q54:Q$65)*($M54:$M$65)*($C54:F$65=$B53)),IF(NOT(ISNUMBER(Data!J51)),0,ABS(($F53*100)-(Data!J51-$I53)*$K53)),ABS(($F53*100)-(Data!J51-$G53)*$K53))</f>
        <v>0</v>
      </c>
      <c r="R53" s="64">
        <f>CHOOSE($E53,SUMPRODUCT((R54:R$65)*($M54:$M$65)*($C54:G$65=$B53)),IF(NOT(ISNUMBER(Data!K51)),0,ABS(($F53*100)-(Data!K51-$I53)*$K53)),ABS(($F53*100)-(Data!K51-$G53)*$K53))</f>
        <v>0</v>
      </c>
      <c r="S53" s="64">
        <f>CHOOSE($E53,SUMPRODUCT((S54:S$65)*($M54:$M$65)*($C54:H$65=$B53)),IF(NOT(ISNUMBER(Data!L51)),0,ABS(($F53*100)-(Data!L51-$I53)*$K53)),ABS(($F53*100)-(Data!L51-$G53)*$K53))</f>
        <v>100</v>
      </c>
      <c r="T53" s="64">
        <f>CHOOSE($E53,SUMPRODUCT((T54:T$65)*($M54:$M$65)*($C54:I$65=$B53)),IF(NOT(ISNUMBER(Data!M51)),0,ABS(($F53*100)-(Data!M51-$I53)*$K53)),ABS(($F53*100)-(Data!M51-$G53)*$K53))</f>
        <v>100</v>
      </c>
      <c r="U53" s="64">
        <f>CHOOSE($E53,SUMPRODUCT((U54:U$65)*($M54:$M$65)*($C54:J$65=$B53)),IF(NOT(ISNUMBER(Data!N51)),0,ABS(($F53*100)-(Data!N51-$I53)*$K53)),ABS(($F53*100)-(Data!N51-$G53)*$K53))</f>
        <v>100</v>
      </c>
      <c r="V53" s="64">
        <f>CHOOSE($E53,SUMPRODUCT((V54:V$65)*($M54:$M$65)*($C54:K$65=$B53)),IF(NOT(ISNUMBER(Data!O51)),0,ABS(($F53*100)-(Data!O51-$I53)*$K53)),ABS(($F53*100)-(Data!O51-$G53)*$K53))</f>
        <v>0</v>
      </c>
      <c r="W53" s="64">
        <f>CHOOSE($E53,SUMPRODUCT((W54:W$65)*($M54:$M$65)*($C54:L$65=$B53)),IF(NOT(ISNUMBER(Data!P51)),0,ABS(($F53*100)-(Data!P51-$I53)*$K53)),ABS(($F53*100)-(Data!P51-$G53)*$K53))</f>
        <v>100</v>
      </c>
      <c r="X53" s="64">
        <f>CHOOSE($E53,SUMPRODUCT((X54:X$65)*($M54:$M$65)*($C54:M$65=$B53)),IF(NOT(ISNUMBER(Data!Q51)),0,ABS(($F53*100)-(Data!Q51-$I53)*$K53)),ABS(($F53*100)-(Data!Q51-$G53)*$K53))</f>
        <v>100</v>
      </c>
      <c r="Y53" s="64">
        <f>CHOOSE($E53,SUMPRODUCT((Y54:Y$65)*($M54:$M$65)*($C54:N$65=$B53)),IF(NOT(ISNUMBER(Data!R51)),0,ABS(($F53*100)-(Data!R51-$I53)*$K53)),ABS(($F53*100)-(Data!R51-$G53)*$K53))</f>
        <v>100</v>
      </c>
      <c r="Z53" s="64">
        <f>CHOOSE($E53,SUMPRODUCT((Z54:Z$65)*($M54:$M$65)*($C54:O$65=$B53)),IF(NOT(ISNUMBER(Data!S51)),0,ABS(($F53*100)-(Data!S51-$I53)*$K53)),ABS(($F53*100)-(Data!S51-$G53)*$K53))</f>
        <v>100</v>
      </c>
      <c r="AA53" s="64">
        <f>CHOOSE($E53,SUMPRODUCT((AA54:AA$65)*($M54:$M$65)*($C54:P$65=$B53)),IF(NOT(ISNUMBER(Data!T51)),0,ABS(($F53*100)-(Data!T51-$I53)*$K53)),ABS(($F53*100)-(Data!T51-$G53)*$K53))</f>
        <v>100</v>
      </c>
      <c r="AB53" s="64">
        <f>CHOOSE($E53,SUMPRODUCT((AB54:AB$65)*($M54:$M$65)*($C54:Q$65=$B53)),IF(NOT(ISNUMBER(Data!U51)),0,ABS(($F53*100)-(Data!U51-$I53)*$K53)),ABS(($F53*100)-(Data!U51-$G53)*$K53))</f>
        <v>100</v>
      </c>
      <c r="AC53" s="64">
        <f>CHOOSE($E53,SUMPRODUCT((AC54:AC$65)*($M54:$M$65)*($C54:R$65=$B53)),IF(NOT(ISNUMBER(Data!V51)),0,ABS(($F53*100)-(Data!V51-$I53)*$K53)),ABS(($F53*100)-(Data!V51-$G53)*$K53))</f>
        <v>100</v>
      </c>
      <c r="AD53" s="64">
        <f>CHOOSE($E53,SUMPRODUCT((AD54:AD$65)*($M54:$M$65)*($C54:S$65=$B53)),IF(NOT(ISNUMBER(Data!W51)),0,ABS(($F53*100)-(Data!W51-$I53)*$K53)),ABS(($F53*100)-(Data!W51-$G53)*$K53))</f>
        <v>100</v>
      </c>
      <c r="AE53" s="64">
        <f>CHOOSE($E53,SUMPRODUCT((AE54:AE$65)*($M54:$M$65)*($C54:T$65=$B53)),IF(NOT(ISNUMBER(Data!X51)),0,ABS(($F53*100)-(Data!X51-$I53)*$K53)),ABS(($F53*100)-(Data!X51-$G53)*$K53))</f>
        <v>100</v>
      </c>
      <c r="AF53" s="64">
        <f>CHOOSE($E53,SUMPRODUCT((AF54:AF$65)*($M54:$M$65)*($C54:U$65=$B53)),IF(NOT(ISNUMBER(Data!Y51)),0,ABS(($F53*100)-(Data!Y51-$I53)*$K53)),ABS(($F53*100)-(Data!Y51-$G53)*$K53))</f>
        <v>0</v>
      </c>
      <c r="AG53" s="64">
        <f>CHOOSE($E53,SUMPRODUCT((AG54:AG$65)*($M54:$M$65)*($C54:V$65=$B53)),IF(NOT(ISNUMBER(Data!Z51)),0,ABS(($F53*100)-(Data!Z51-$I53)*$K53)),ABS(($F53*100)-(Data!Z51-$G53)*$K53))</f>
        <v>100</v>
      </c>
      <c r="AH53" s="64">
        <f>CHOOSE($E53,SUMPRODUCT((AH54:AH$65)*($M54:$M$65)*($C54:W$65=$B53)),IF(NOT(ISNUMBER(Data!AA51)),0,ABS(($F53*100)-(Data!AA51-$I53)*$K53)),ABS(($F53*100)-(Data!AA51-$G53)*$K53))</f>
        <v>0</v>
      </c>
      <c r="AI53" s="64">
        <f>CHOOSE($E53,SUMPRODUCT((AI54:AI$65)*($M54:$M$65)*($C54:X$65=$B53)),IF(NOT(ISNUMBER(Data!AB51)),0,ABS(($F53*100)-(Data!AB51-$I53)*$K53)),ABS(($F53*100)-(Data!AB51-$G53)*$K53))</f>
        <v>0</v>
      </c>
      <c r="AJ53" s="64">
        <f>CHOOSE($E53,SUMPRODUCT((AJ54:AJ$65)*($M54:$M$65)*($C54:Y$65=$B53)),IF(NOT(ISNUMBER(Data!AC51)),0,ABS(($F53*100)-(Data!AC51-$I53)*$K53)),ABS(($F53*100)-(Data!AC51-$G53)*$K53))</f>
        <v>0</v>
      </c>
      <c r="AK53" s="64">
        <f>CHOOSE($E53,SUMPRODUCT((AK54:AK$65)*($M54:$M$65)*($C54:Z$65=$B53)),IF(NOT(ISNUMBER(Data!AD51)),0,ABS(($F53*100)-(Data!AD51-$I53)*$K53)),ABS(($F53*100)-(Data!AD51-$G53)*$K53))</f>
        <v>100</v>
      </c>
      <c r="AL53" s="64">
        <f>CHOOSE($E53,SUMPRODUCT((AL54:AL$65)*($M54:$M$65)*($C54:AA$65=$B53)),IF(NOT(ISNUMBER(Data!AE51)),0,ABS(($F53*100)-(Data!AE51-$I53)*$K53)),ABS(($F53*100)-(Data!AE51-$G53)*$K53))</f>
        <v>100</v>
      </c>
      <c r="AM53" s="64">
        <f>CHOOSE($E53,SUMPRODUCT((AM54:AM$65)*($M54:$M$65)*($C54:AB$65=$B53)),IF(NOT(ISNUMBER(Data!AF51)),0,ABS(($F53*100)-(Data!AF51-$I53)*$K53)),ABS(($F53*100)-(Data!AF51-$G53)*$K53))</f>
        <v>0</v>
      </c>
      <c r="AN53" s="64">
        <f>CHOOSE($E53,SUMPRODUCT((AN54:AN$65)*($M54:$M$65)*($C54:AC$65=$B53)),IF(NOT(ISNUMBER(Data!AG51)),0,ABS(($F53*100)-(Data!AG51-$I53)*$K53)),ABS(($F53*100)-(Data!AG51-$G53)*$K53))</f>
        <v>100</v>
      </c>
      <c r="AO53" s="64">
        <f>CHOOSE($E53,SUMPRODUCT((AO54:AO$65)*($M54:$M$65)*($C54:AD$65=$B53)),IF(NOT(ISNUMBER(Data!AH51)),0,ABS(($F53*100)-(Data!AH51-$I53)*$K53)),ABS(($F53*100)-(Data!AH51-$G53)*$K53))</f>
        <v>100</v>
      </c>
      <c r="AP53" s="64">
        <f>CHOOSE($E53,SUMPRODUCT((AP54:AP$65)*($M54:$M$65)*($C54:AE$65=$B53)),IF(NOT(ISNUMBER(Data!AI51)),0,ABS(($F53*100)-(Data!AI51-$I53)*$K53)),ABS(($F53*100)-(Data!AI51-$G53)*$K53))</f>
        <v>100</v>
      </c>
      <c r="AQ53" s="64">
        <f>CHOOSE($E53,SUMPRODUCT((AQ54:AQ$65)*($M54:$M$65)*($C54:AF$65=$B53)),IF(NOT(ISNUMBER(Data!AJ51)),0,ABS(($F53*100)-(Data!AJ51-$I53)*$K53)),ABS(($F53*100)-(Data!AJ51-$G53)*$K53))</f>
        <v>100</v>
      </c>
      <c r="AR53" s="64">
        <f>CHOOSE($E53,SUMPRODUCT((AR54:AR$65)*($M54:$M$65)*($C54:AG$65=$B53)),IF(NOT(ISNUMBER(Data!AK51)),0,ABS(($F53*100)-(Data!AK51-$I53)*$K53)),ABS(($F53*100)-(Data!AK51-$G53)*$K53))</f>
        <v>100</v>
      </c>
      <c r="AS53" s="64">
        <f>CHOOSE($E53,SUMPRODUCT((AS54:AS$65)*($M54:$M$65)*($C54:AH$65=$B53)),IF(NOT(ISNUMBER(Data!AL51)),0,ABS(($F53*100)-(Data!AL51-$I53)*$K53)),ABS(($F53*100)-(Data!AL51-$G53)*$K53))</f>
        <v>100</v>
      </c>
      <c r="AT53" s="64">
        <f>CHOOSE($E53,SUMPRODUCT((AT54:AT$65)*($M54:$M$65)*($C54:AI$65=$B53)),IF(NOT(ISNUMBER(Data!AM51)),0,ABS(($F53*100)-(Data!AM51-$I53)*$K53)),ABS(($F53*100)-(Data!AM51-$G53)*$K53))</f>
        <v>100</v>
      </c>
      <c r="AU53" s="64">
        <f>CHOOSE($E53,SUMPRODUCT((AU54:AU$65)*($M54:$M$65)*($C54:AJ$65=$B53)),IF(NOT(ISNUMBER(Data!AN51)),0,ABS(($F53*100)-(Data!AN51-$I53)*$K53)),ABS(($F53*100)-(Data!AN51-$G53)*$K53))</f>
        <v>0</v>
      </c>
      <c r="AV53" s="64">
        <f>CHOOSE($E53,SUMPRODUCT((AV54:AV$65)*($M54:$M$65)*($C54:AK$65=$B53)),IF(NOT(ISNUMBER(Data!AO51)),0,ABS(($F53*100)-(Data!AO51-$I53)*$K53)),ABS(($F53*100)-(Data!AO51-$G53)*$K53))</f>
        <v>0</v>
      </c>
      <c r="AW53" s="64">
        <f>CHOOSE($E53,SUMPRODUCT((AW54:AW$65)*($M54:$M$65)*($C54:AL$65=$B53)),IF(NOT(ISNUMBER(Data!AP51)),0,ABS(($F53*100)-(Data!AP51-$I53)*$K53)),ABS(($F53*100)-(Data!AP51-$G53)*$K53))</f>
        <v>100</v>
      </c>
      <c r="AX53" s="64">
        <f>CHOOSE($E53,SUMPRODUCT((AX54:AX$65)*($M54:$M$65)*($C54:AM$65=$B53)),IF(NOT(ISNUMBER(Data!AQ51)),0,ABS(($F53*100)-(Data!AQ51-$I53)*$K53)),ABS(($F53*100)-(Data!AQ51-$G53)*$K53))</f>
        <v>100</v>
      </c>
      <c r="AY53" s="64">
        <f>CHOOSE($E53,SUMPRODUCT((AY54:AY$65)*($M54:$M$65)*($C54:AN$65=$B53)),IF(NOT(ISNUMBER(Data!AR51)),0,ABS(($F53*100)-(Data!AR51-$I53)*$K53)),ABS(($F53*100)-(Data!AR51-$G53)*$K53))</f>
        <v>0</v>
      </c>
      <c r="AZ53" s="64">
        <f>CHOOSE($E53,SUMPRODUCT((AZ54:AZ$65)*($M54:$M$65)*($C54:AO$65=$B53)),IF(NOT(ISNUMBER(Data!AS51)),0,ABS(($F53*100)-(Data!AS51-$I53)*$K53)),ABS(($F53*100)-(Data!AS51-$G53)*$K53))</f>
        <v>0</v>
      </c>
      <c r="BA53" s="64">
        <f>CHOOSE($E53,SUMPRODUCT((BA54:BA$65)*($M54:$M$65)*($C54:AP$65=$B53)),IF(NOT(ISNUMBER(Data!AT51)),0,ABS(($F53*100)-(Data!AT51-$I53)*$K53)),ABS(($F53*100)-(Data!AT51-$G53)*$K53))</f>
        <v>100</v>
      </c>
      <c r="BB53" s="64">
        <f>CHOOSE($E53,SUMPRODUCT((BB54:BB$65)*($M54:$M$65)*($C54:AQ$65=$B53)),IF(NOT(ISNUMBER(Data!AU51)),0,ABS(($F53*100)-(Data!AU51-$I53)*$K53)),ABS(($F53*100)-(Data!AU51-$G53)*$K53))</f>
        <v>100</v>
      </c>
      <c r="BC53" s="64">
        <f>CHOOSE($E53,SUMPRODUCT((BC54:BC$65)*($M54:$M$65)*($C54:AR$65=$B53)),IF(NOT(ISNUMBER(Data!AV51)),0,ABS(($F53*100)-(Data!AV51-$I53)*$K53)),ABS(($F53*100)-(Data!AV51-$G53)*$K53))</f>
        <v>0</v>
      </c>
      <c r="BD53" s="64">
        <f>CHOOSE($E53,SUMPRODUCT((BD54:BD$65)*($M54:$M$65)*($C54:AS$65=$B53)),IF(NOT(ISNUMBER(Data!AW51)),0,ABS(($F53*100)-(Data!AW51-$I53)*$K53)),ABS(($F53*100)-(Data!AW51-$G53)*$K53))</f>
        <v>100</v>
      </c>
      <c r="BE53" s="64">
        <f>CHOOSE($E53,SUMPRODUCT((BE54:BE$65)*($M54:$M$65)*($C54:AT$65=$B53)),IF(NOT(ISNUMBER(Data!AX51)),0,ABS(($F53*100)-(Data!AX51-$I53)*$K53)),ABS(($F53*100)-(Data!AX51-$G53)*$K53))</f>
        <v>100</v>
      </c>
      <c r="BF53" s="64">
        <f>CHOOSE($E53,SUMPRODUCT((BF54:BF$65)*($M54:$M$65)*($C54:AU$65=$B53)),IF(NOT(ISNUMBER(Data!AY51)),0,ABS(($F53*100)-(Data!AY51-$I53)*$K53)),ABS(($F53*100)-(Data!AY51-$G53)*$K53))</f>
        <v>0</v>
      </c>
      <c r="BG53" s="64">
        <f>CHOOSE($E53,SUMPRODUCT((BG54:BG$65)*($M54:$M$65)*($C54:AV$65=$B53)),IF(NOT(ISNUMBER(Data!AZ51)),0,ABS(($F53*100)-(Data!AZ51-$I53)*$K53)),ABS(($F53*100)-(Data!AZ51-$G53)*$K53))</f>
        <v>0</v>
      </c>
      <c r="BH53" s="64">
        <f>CHOOSE($E53,SUMPRODUCT((BH54:BH$65)*($M54:$M$65)*($C54:AW$65=$B53)),IF(NOT(ISNUMBER(Data!BA51)),0,ABS(($F53*100)-(Data!BA51-$I53)*$K53)),ABS(($F53*100)-(Data!BA51-$G53)*$K53))</f>
        <v>100</v>
      </c>
      <c r="BI53" s="64">
        <f>CHOOSE($E53,SUMPRODUCT((BI54:BI$65)*($M54:$M$65)*($C54:AX$65=$B53)),IF(NOT(ISNUMBER(Data!BB51)),0,ABS(($F53*100)-(Data!BB51-$I53)*$K53)),ABS(($F53*100)-(Data!BB51-$G53)*$K53))</f>
        <v>0</v>
      </c>
      <c r="BJ53" s="64">
        <f>CHOOSE($E53,SUMPRODUCT((BJ54:BJ$65)*($M54:$M$65)*($C54:AY$65=$B53)),IF(NOT(ISNUMBER(Data!BC51)),0,ABS(($F53*100)-(Data!BC51-$I53)*$K53)),ABS(($F53*100)-(Data!BC51-$G53)*$K53))</f>
        <v>100</v>
      </c>
      <c r="BK53" s="64">
        <f>CHOOSE($E53,SUMPRODUCT((BK54:BK$65)*($M54:$M$65)*($C54:AZ$65=$B53)),IF(NOT(ISNUMBER(Data!BD51)),0,ABS(($F53*100)-(Data!BD51-$I53)*$K53)),ABS(($F53*100)-(Data!BD51-$G53)*$K53))</f>
        <v>100</v>
      </c>
      <c r="BM53" s="65"/>
    </row>
    <row r="54" spans="1:65">
      <c r="A54" s="24"/>
      <c r="B54" s="24" t="str">
        <f>tblIndicators!B47</f>
        <v>PERSAF_IP_05</v>
      </c>
      <c r="C54" s="24" t="str">
        <f>tblIndicators!C47</f>
        <v>PERSAF_IP</v>
      </c>
      <c r="D54" s="52">
        <f>tblIndicators!D47</f>
        <v>3</v>
      </c>
      <c r="E54" s="52">
        <f>tblIndicators!M47</f>
        <v>2</v>
      </c>
      <c r="F54" s="52">
        <f>tblIndicators!N47</f>
        <v>0</v>
      </c>
      <c r="G54" s="52">
        <f>tblIndicators!Q47</f>
        <v>0</v>
      </c>
      <c r="H54" s="52">
        <f>tblIndicators!R47</f>
        <v>0</v>
      </c>
      <c r="I54" s="52">
        <f>IF($E54=2,MIN(Data!G52:BD52),"")</f>
        <v>0</v>
      </c>
      <c r="J54" s="52">
        <f>IF($E54=2,MAX(Data!G52:BD52),"")</f>
        <v>1</v>
      </c>
      <c r="K54" s="54">
        <f t="shared" si="3"/>
        <v>100</v>
      </c>
      <c r="L54" s="62" t="str">
        <f>tblIndicators!Z47</f>
        <v>4.1.5) Private security measures</v>
      </c>
      <c r="M54" s="63">
        <f>tblIndicators!AC47</f>
        <v>0.142857142857143</v>
      </c>
      <c r="N54" s="64">
        <f>CHOOSE($E54,SUMPRODUCT((N55:N$65)*($M55:$M$65)*($C55:C$65=$B54)),IF(NOT(ISNUMBER(Data!G52)),0,ABS(($F54*100)-(Data!G52-$I54)*$K54)),ABS(($F54*100)-(Data!G52-$G54)*$K54))</f>
        <v>100</v>
      </c>
      <c r="O54" s="64">
        <f>CHOOSE($E54,SUMPRODUCT((O55:O$65)*($M55:$M$65)*($C55:D$65=$B54)),IF(NOT(ISNUMBER(Data!H52)),0,ABS(($F54*100)-(Data!H52-$I54)*$K54)),ABS(($F54*100)-(Data!H52-$G54)*$K54))</f>
        <v>100</v>
      </c>
      <c r="P54" s="64">
        <f>CHOOSE($E54,SUMPRODUCT((P55:P$65)*($M55:$M$65)*($C55:E$65=$B54)),IF(NOT(ISNUMBER(Data!I52)),0,ABS(($F54*100)-(Data!I52-$I54)*$K54)),ABS(($F54*100)-(Data!I52-$G54)*$K54))</f>
        <v>100</v>
      </c>
      <c r="Q54" s="64">
        <f>CHOOSE($E54,SUMPRODUCT((Q55:Q$65)*($M55:$M$65)*($C55:F$65=$B54)),IF(NOT(ISNUMBER(Data!J52)),0,ABS(($F54*100)-(Data!J52-$I54)*$K54)),ABS(($F54*100)-(Data!J52-$G54)*$K54))</f>
        <v>100</v>
      </c>
      <c r="R54" s="64">
        <f>CHOOSE($E54,SUMPRODUCT((R55:R$65)*($M55:$M$65)*($C55:G$65=$B54)),IF(NOT(ISNUMBER(Data!K52)),0,ABS(($F54*100)-(Data!K52-$I54)*$K54)),ABS(($F54*100)-(Data!K52-$G54)*$K54))</f>
        <v>100</v>
      </c>
      <c r="S54" s="64">
        <f>CHOOSE($E54,SUMPRODUCT((S55:S$65)*($M55:$M$65)*($C55:H$65=$B54)),IF(NOT(ISNUMBER(Data!L52)),0,ABS(($F54*100)-(Data!L52-$I54)*$K54)),ABS(($F54*100)-(Data!L52-$G54)*$K54))</f>
        <v>100</v>
      </c>
      <c r="T54" s="64">
        <f>CHOOSE($E54,SUMPRODUCT((T55:T$65)*($M55:$M$65)*($C55:I$65=$B54)),IF(NOT(ISNUMBER(Data!M52)),0,ABS(($F54*100)-(Data!M52-$I54)*$K54)),ABS(($F54*100)-(Data!M52-$G54)*$K54))</f>
        <v>100</v>
      </c>
      <c r="U54" s="64">
        <f>CHOOSE($E54,SUMPRODUCT((U55:U$65)*($M55:$M$65)*($C55:J$65=$B54)),IF(NOT(ISNUMBER(Data!N52)),0,ABS(($F54*100)-(Data!N52-$I54)*$K54)),ABS(($F54*100)-(Data!N52-$G54)*$K54))</f>
        <v>100</v>
      </c>
      <c r="V54" s="64">
        <f>CHOOSE($E54,SUMPRODUCT((V55:V$65)*($M55:$M$65)*($C55:K$65=$B54)),IF(NOT(ISNUMBER(Data!O52)),0,ABS(($F54*100)-(Data!O52-$I54)*$K54)),ABS(($F54*100)-(Data!O52-$G54)*$K54))</f>
        <v>0</v>
      </c>
      <c r="W54" s="64">
        <f>CHOOSE($E54,SUMPRODUCT((W55:W$65)*($M55:$M$65)*($C55:L$65=$B54)),IF(NOT(ISNUMBER(Data!P52)),0,ABS(($F54*100)-(Data!P52-$I54)*$K54)),ABS(($F54*100)-(Data!P52-$G54)*$K54))</f>
        <v>100</v>
      </c>
      <c r="X54" s="64">
        <f>CHOOSE($E54,SUMPRODUCT((X55:X$65)*($M55:$M$65)*($C55:M$65=$B54)),IF(NOT(ISNUMBER(Data!Q52)),0,ABS(($F54*100)-(Data!Q52-$I54)*$K54)),ABS(($F54*100)-(Data!Q52-$G54)*$K54))</f>
        <v>100</v>
      </c>
      <c r="Y54" s="64">
        <f>CHOOSE($E54,SUMPRODUCT((Y55:Y$65)*($M55:$M$65)*($C55:N$65=$B54)),IF(NOT(ISNUMBER(Data!R52)),0,ABS(($F54*100)-(Data!R52-$I54)*$K54)),ABS(($F54*100)-(Data!R52-$G54)*$K54))</f>
        <v>100</v>
      </c>
      <c r="Z54" s="64">
        <f>CHOOSE($E54,SUMPRODUCT((Z55:Z$65)*($M55:$M$65)*($C55:O$65=$B54)),IF(NOT(ISNUMBER(Data!S52)),0,ABS(($F54*100)-(Data!S52-$I54)*$K54)),ABS(($F54*100)-(Data!S52-$G54)*$K54))</f>
        <v>0</v>
      </c>
      <c r="AA54" s="64">
        <f>CHOOSE($E54,SUMPRODUCT((AA55:AA$65)*($M55:$M$65)*($C55:P$65=$B54)),IF(NOT(ISNUMBER(Data!T52)),0,ABS(($F54*100)-(Data!T52-$I54)*$K54)),ABS(($F54*100)-(Data!T52-$G54)*$K54))</f>
        <v>100</v>
      </c>
      <c r="AB54" s="64">
        <f>CHOOSE($E54,SUMPRODUCT((AB55:AB$65)*($M55:$M$65)*($C55:Q$65=$B54)),IF(NOT(ISNUMBER(Data!U52)),0,ABS(($F54*100)-(Data!U52-$I54)*$K54)),ABS(($F54*100)-(Data!U52-$G54)*$K54))</f>
        <v>100</v>
      </c>
      <c r="AC54" s="64">
        <f>CHOOSE($E54,SUMPRODUCT((AC55:AC$65)*($M55:$M$65)*($C55:R$65=$B54)),IF(NOT(ISNUMBER(Data!V52)),0,ABS(($F54*100)-(Data!V52-$I54)*$K54)),ABS(($F54*100)-(Data!V52-$G54)*$K54))</f>
        <v>100</v>
      </c>
      <c r="AD54" s="64">
        <f>CHOOSE($E54,SUMPRODUCT((AD55:AD$65)*($M55:$M$65)*($C55:S$65=$B54)),IF(NOT(ISNUMBER(Data!W52)),0,ABS(($F54*100)-(Data!W52-$I54)*$K54)),ABS(($F54*100)-(Data!W52-$G54)*$K54))</f>
        <v>100</v>
      </c>
      <c r="AE54" s="64">
        <f>CHOOSE($E54,SUMPRODUCT((AE55:AE$65)*($M55:$M$65)*($C55:T$65=$B54)),IF(NOT(ISNUMBER(Data!X52)),0,ABS(($F54*100)-(Data!X52-$I54)*$K54)),ABS(($F54*100)-(Data!X52-$G54)*$K54))</f>
        <v>100</v>
      </c>
      <c r="AF54" s="64">
        <f>CHOOSE($E54,SUMPRODUCT((AF55:AF$65)*($M55:$M$65)*($C55:U$65=$B54)),IF(NOT(ISNUMBER(Data!Y52)),0,ABS(($F54*100)-(Data!Y52-$I54)*$K54)),ABS(($F54*100)-(Data!Y52-$G54)*$K54))</f>
        <v>0</v>
      </c>
      <c r="AG54" s="64">
        <f>CHOOSE($E54,SUMPRODUCT((AG55:AG$65)*($M55:$M$65)*($C55:V$65=$B54)),IF(NOT(ISNUMBER(Data!Z52)),0,ABS(($F54*100)-(Data!Z52-$I54)*$K54)),ABS(($F54*100)-(Data!Z52-$G54)*$K54))</f>
        <v>100</v>
      </c>
      <c r="AH54" s="64">
        <f>CHOOSE($E54,SUMPRODUCT((AH55:AH$65)*($M55:$M$65)*($C55:W$65=$B54)),IF(NOT(ISNUMBER(Data!AA52)),0,ABS(($F54*100)-(Data!AA52-$I54)*$K54)),ABS(($F54*100)-(Data!AA52-$G54)*$K54))</f>
        <v>100</v>
      </c>
      <c r="AI54" s="64">
        <f>CHOOSE($E54,SUMPRODUCT((AI55:AI$65)*($M55:$M$65)*($C55:X$65=$B54)),IF(NOT(ISNUMBER(Data!AB52)),0,ABS(($F54*100)-(Data!AB52-$I54)*$K54)),ABS(($F54*100)-(Data!AB52-$G54)*$K54))</f>
        <v>100</v>
      </c>
      <c r="AJ54" s="64">
        <f>CHOOSE($E54,SUMPRODUCT((AJ55:AJ$65)*($M55:$M$65)*($C55:Y$65=$B54)),IF(NOT(ISNUMBER(Data!AC52)),0,ABS(($F54*100)-(Data!AC52-$I54)*$K54)),ABS(($F54*100)-(Data!AC52-$G54)*$K54))</f>
        <v>100</v>
      </c>
      <c r="AK54" s="64">
        <f>CHOOSE($E54,SUMPRODUCT((AK55:AK$65)*($M55:$M$65)*($C55:Z$65=$B54)),IF(NOT(ISNUMBER(Data!AD52)),0,ABS(($F54*100)-(Data!AD52-$I54)*$K54)),ABS(($F54*100)-(Data!AD52-$G54)*$K54))</f>
        <v>0</v>
      </c>
      <c r="AL54" s="64">
        <f>CHOOSE($E54,SUMPRODUCT((AL55:AL$65)*($M55:$M$65)*($C55:AA$65=$B54)),IF(NOT(ISNUMBER(Data!AE52)),0,ABS(($F54*100)-(Data!AE52-$I54)*$K54)),ABS(($F54*100)-(Data!AE52-$G54)*$K54))</f>
        <v>100</v>
      </c>
      <c r="AM54" s="64">
        <f>CHOOSE($E54,SUMPRODUCT((AM55:AM$65)*($M55:$M$65)*($C55:AB$65=$B54)),IF(NOT(ISNUMBER(Data!AF52)),0,ABS(($F54*100)-(Data!AF52-$I54)*$K54)),ABS(($F54*100)-(Data!AF52-$G54)*$K54))</f>
        <v>0</v>
      </c>
      <c r="AN54" s="64">
        <f>CHOOSE($E54,SUMPRODUCT((AN55:AN$65)*($M55:$M$65)*($C55:AC$65=$B54)),IF(NOT(ISNUMBER(Data!AG52)),0,ABS(($F54*100)-(Data!AG52-$I54)*$K54)),ABS(($F54*100)-(Data!AG52-$G54)*$K54))</f>
        <v>100</v>
      </c>
      <c r="AO54" s="64">
        <f>CHOOSE($E54,SUMPRODUCT((AO55:AO$65)*($M55:$M$65)*($C55:AD$65=$B54)),IF(NOT(ISNUMBER(Data!AH52)),0,ABS(($F54*100)-(Data!AH52-$I54)*$K54)),ABS(($F54*100)-(Data!AH52-$G54)*$K54))</f>
        <v>100</v>
      </c>
      <c r="AP54" s="64">
        <f>CHOOSE($E54,SUMPRODUCT((AP55:AP$65)*($M55:$M$65)*($C55:AE$65=$B54)),IF(NOT(ISNUMBER(Data!AI52)),0,ABS(($F54*100)-(Data!AI52-$I54)*$K54)),ABS(($F54*100)-(Data!AI52-$G54)*$K54))</f>
        <v>100</v>
      </c>
      <c r="AQ54" s="64">
        <f>CHOOSE($E54,SUMPRODUCT((AQ55:AQ$65)*($M55:$M$65)*($C55:AF$65=$B54)),IF(NOT(ISNUMBER(Data!AJ52)),0,ABS(($F54*100)-(Data!AJ52-$I54)*$K54)),ABS(($F54*100)-(Data!AJ52-$G54)*$K54))</f>
        <v>100</v>
      </c>
      <c r="AR54" s="64">
        <f>CHOOSE($E54,SUMPRODUCT((AR55:AR$65)*($M55:$M$65)*($C55:AG$65=$B54)),IF(NOT(ISNUMBER(Data!AK52)),0,ABS(($F54*100)-(Data!AK52-$I54)*$K54)),ABS(($F54*100)-(Data!AK52-$G54)*$K54))</f>
        <v>100</v>
      </c>
      <c r="AS54" s="64">
        <f>CHOOSE($E54,SUMPRODUCT((AS55:AS$65)*($M55:$M$65)*($C55:AH$65=$B54)),IF(NOT(ISNUMBER(Data!AL52)),0,ABS(($F54*100)-(Data!AL52-$I54)*$K54)),ABS(($F54*100)-(Data!AL52-$G54)*$K54))</f>
        <v>100</v>
      </c>
      <c r="AT54" s="64">
        <f>CHOOSE($E54,SUMPRODUCT((AT55:AT$65)*($M55:$M$65)*($C55:AI$65=$B54)),IF(NOT(ISNUMBER(Data!AM52)),0,ABS(($F54*100)-(Data!AM52-$I54)*$K54)),ABS(($F54*100)-(Data!AM52-$G54)*$K54))</f>
        <v>100</v>
      </c>
      <c r="AU54" s="64">
        <f>CHOOSE($E54,SUMPRODUCT((AU55:AU$65)*($M55:$M$65)*($C55:AJ$65=$B54)),IF(NOT(ISNUMBER(Data!AN52)),0,ABS(($F54*100)-(Data!AN52-$I54)*$K54)),ABS(($F54*100)-(Data!AN52-$G54)*$K54))</f>
        <v>100</v>
      </c>
      <c r="AV54" s="64">
        <f>CHOOSE($E54,SUMPRODUCT((AV55:AV$65)*($M55:$M$65)*($C55:AK$65=$B54)),IF(NOT(ISNUMBER(Data!AO52)),0,ABS(($F54*100)-(Data!AO52-$I54)*$K54)),ABS(($F54*100)-(Data!AO52-$G54)*$K54))</f>
        <v>0</v>
      </c>
      <c r="AW54" s="64">
        <f>CHOOSE($E54,SUMPRODUCT((AW55:AW$65)*($M55:$M$65)*($C55:AL$65=$B54)),IF(NOT(ISNUMBER(Data!AP52)),0,ABS(($F54*100)-(Data!AP52-$I54)*$K54)),ABS(($F54*100)-(Data!AP52-$G54)*$K54))</f>
        <v>100</v>
      </c>
      <c r="AX54" s="64">
        <f>CHOOSE($E54,SUMPRODUCT((AX55:AX$65)*($M55:$M$65)*($C55:AM$65=$B54)),IF(NOT(ISNUMBER(Data!AQ52)),0,ABS(($F54*100)-(Data!AQ52-$I54)*$K54)),ABS(($F54*100)-(Data!AQ52-$G54)*$K54))</f>
        <v>0</v>
      </c>
      <c r="AY54" s="64">
        <f>CHOOSE($E54,SUMPRODUCT((AY55:AY$65)*($M55:$M$65)*($C55:AN$65=$B54)),IF(NOT(ISNUMBER(Data!AR52)),0,ABS(($F54*100)-(Data!AR52-$I54)*$K54)),ABS(($F54*100)-(Data!AR52-$G54)*$K54))</f>
        <v>0</v>
      </c>
      <c r="AZ54" s="64">
        <f>CHOOSE($E54,SUMPRODUCT((AZ55:AZ$65)*($M55:$M$65)*($C55:AO$65=$B54)),IF(NOT(ISNUMBER(Data!AS52)),0,ABS(($F54*100)-(Data!AS52-$I54)*$K54)),ABS(($F54*100)-(Data!AS52-$G54)*$K54))</f>
        <v>0</v>
      </c>
      <c r="BA54" s="64">
        <f>CHOOSE($E54,SUMPRODUCT((BA55:BA$65)*($M55:$M$65)*($C55:AP$65=$B54)),IF(NOT(ISNUMBER(Data!AT52)),0,ABS(($F54*100)-(Data!AT52-$I54)*$K54)),ABS(($F54*100)-(Data!AT52-$G54)*$K54))</f>
        <v>0</v>
      </c>
      <c r="BB54" s="64">
        <f>CHOOSE($E54,SUMPRODUCT((BB55:BB$65)*($M55:$M$65)*($C55:AQ$65=$B54)),IF(NOT(ISNUMBER(Data!AU52)),0,ABS(($F54*100)-(Data!AU52-$I54)*$K54)),ABS(($F54*100)-(Data!AU52-$G54)*$K54))</f>
        <v>0</v>
      </c>
      <c r="BC54" s="64">
        <f>CHOOSE($E54,SUMPRODUCT((BC55:BC$65)*($M55:$M$65)*($C55:AR$65=$B54)),IF(NOT(ISNUMBER(Data!AV52)),0,ABS(($F54*100)-(Data!AV52-$I54)*$K54)),ABS(($F54*100)-(Data!AV52-$G54)*$K54))</f>
        <v>0</v>
      </c>
      <c r="BD54" s="64">
        <f>CHOOSE($E54,SUMPRODUCT((BD55:BD$65)*($M55:$M$65)*($C55:AS$65=$B54)),IF(NOT(ISNUMBER(Data!AW52)),0,ABS(($F54*100)-(Data!AW52-$I54)*$K54)),ABS(($F54*100)-(Data!AW52-$G54)*$K54))</f>
        <v>0</v>
      </c>
      <c r="BE54" s="64">
        <f>CHOOSE($E54,SUMPRODUCT((BE55:BE$65)*($M55:$M$65)*($C55:AT$65=$B54)),IF(NOT(ISNUMBER(Data!AX52)),0,ABS(($F54*100)-(Data!AX52-$I54)*$K54)),ABS(($F54*100)-(Data!AX52-$G54)*$K54))</f>
        <v>100</v>
      </c>
      <c r="BF54" s="64">
        <f>CHOOSE($E54,SUMPRODUCT((BF55:BF$65)*($M55:$M$65)*($C55:AU$65=$B54)),IF(NOT(ISNUMBER(Data!AY52)),0,ABS(($F54*100)-(Data!AY52-$I54)*$K54)),ABS(($F54*100)-(Data!AY52-$G54)*$K54))</f>
        <v>0</v>
      </c>
      <c r="BG54" s="64">
        <f>CHOOSE($E54,SUMPRODUCT((BG55:BG$65)*($M55:$M$65)*($C55:AV$65=$B54)),IF(NOT(ISNUMBER(Data!AZ52)),0,ABS(($F54*100)-(Data!AZ52-$I54)*$K54)),ABS(($F54*100)-(Data!AZ52-$G54)*$K54))</f>
        <v>100</v>
      </c>
      <c r="BH54" s="64">
        <f>CHOOSE($E54,SUMPRODUCT((BH55:BH$65)*($M55:$M$65)*($C55:AW$65=$B54)),IF(NOT(ISNUMBER(Data!BA52)),0,ABS(($F54*100)-(Data!BA52-$I54)*$K54)),ABS(($F54*100)-(Data!BA52-$G54)*$K54))</f>
        <v>100</v>
      </c>
      <c r="BI54" s="64">
        <f>CHOOSE($E54,SUMPRODUCT((BI55:BI$65)*($M55:$M$65)*($C55:AX$65=$B54)),IF(NOT(ISNUMBER(Data!BB52)),0,ABS(($F54*100)-(Data!BB52-$I54)*$K54)),ABS(($F54*100)-(Data!BB52-$G54)*$K54))</f>
        <v>100</v>
      </c>
      <c r="BJ54" s="64">
        <f>CHOOSE($E54,SUMPRODUCT((BJ55:BJ$65)*($M55:$M$65)*($C55:AY$65=$B54)),IF(NOT(ISNUMBER(Data!BC52)),0,ABS(($F54*100)-(Data!BC52-$I54)*$K54)),ABS(($F54*100)-(Data!BC52-$G54)*$K54))</f>
        <v>100</v>
      </c>
      <c r="BK54" s="64">
        <f>CHOOSE($E54,SUMPRODUCT((BK55:BK$65)*($M55:$M$65)*($C55:AZ$65=$B54)),IF(NOT(ISNUMBER(Data!BD52)),0,ABS(($F54*100)-(Data!BD52-$I54)*$K54)),ABS(($F54*100)-(Data!BD52-$G54)*$K54))</f>
        <v>100</v>
      </c>
      <c r="BM54" s="65"/>
    </row>
    <row r="55" s="22" customFormat="1" spans="1:65">
      <c r="A55" s="24"/>
      <c r="B55" s="24" t="str">
        <f>tblIndicators!B48</f>
        <v>PERSAF_IP_06</v>
      </c>
      <c r="C55" s="24" t="str">
        <f>tblIndicators!C48</f>
        <v>PERSAF_IP</v>
      </c>
      <c r="D55" s="52">
        <f>tblIndicators!D48</f>
        <v>3</v>
      </c>
      <c r="E55" s="52">
        <f>tblIndicators!M48</f>
        <v>2</v>
      </c>
      <c r="F55" s="52">
        <f>tblIndicators!N48</f>
        <v>1</v>
      </c>
      <c r="G55" s="52">
        <f>tblIndicators!Q48</f>
        <v>0</v>
      </c>
      <c r="H55" s="52">
        <f>tblIndicators!R48</f>
        <v>0</v>
      </c>
      <c r="I55" s="52">
        <f>IF($E55=2,MIN(Data!G53:BD53),"")</f>
        <v>0.5</v>
      </c>
      <c r="J55" s="52">
        <f>IF($E55=2,MAX(Data!G53:BD53),"")</f>
        <v>6.5</v>
      </c>
      <c r="K55" s="54">
        <f t="shared" si="3"/>
        <v>16.6666666666667</v>
      </c>
      <c r="L55" s="62" t="str">
        <f>tblIndicators!Z48</f>
        <v>4.1.6) Gun regulation and enforcement</v>
      </c>
      <c r="M55" s="63">
        <f>tblIndicators!AC48</f>
        <v>0.142857142857143</v>
      </c>
      <c r="N55" s="64">
        <f>CHOOSE($E55,SUMPRODUCT((N56:N$65)*($M56:$M$65)*($C56:C$65=$B55)),IF(NOT(ISNUMBER(Data!G53)),0,ABS(($F55*100)-(Data!G53-$I55)*$K55)),ABS(($F55*100)-(Data!G53-$G55)*$K55))</f>
        <v>55</v>
      </c>
      <c r="O55" s="64">
        <f>CHOOSE($E55,SUMPRODUCT((O56:O$65)*($M56:$M$65)*($C56:D$65=$B55)),IF(NOT(ISNUMBER(Data!H53)),0,ABS(($F55*100)-(Data!H53-$I55)*$K55)),ABS(($F55*100)-(Data!H53-$G55)*$K55))</f>
        <v>8.33333333333333</v>
      </c>
      <c r="P55" s="64">
        <f>CHOOSE($E55,SUMPRODUCT((P56:P$65)*($M56:$M$65)*($C56:E$65=$B55)),IF(NOT(ISNUMBER(Data!I53)),0,ABS(($F55*100)-(Data!I53-$I55)*$K55)),ABS(($F55*100)-(Data!I53-$G55)*$K55))</f>
        <v>66.6666666666667</v>
      </c>
      <c r="Q55" s="64">
        <f>CHOOSE($E55,SUMPRODUCT((Q56:Q$65)*($M56:$M$65)*($C56:F$65=$B55)),IF(NOT(ISNUMBER(Data!J53)),0,ABS(($F55*100)-(Data!J53-$I55)*$K55)),ABS(($F55*100)-(Data!J53-$G55)*$K55))</f>
        <v>50</v>
      </c>
      <c r="R55" s="64">
        <f>CHOOSE($E55,SUMPRODUCT((R56:R$65)*($M56:$M$65)*($C56:G$65=$B55)),IF(NOT(ISNUMBER(Data!K53)),0,ABS(($F55*100)-(Data!K53-$I55)*$K55)),ABS(($F55*100)-(Data!K53-$G55)*$K55))</f>
        <v>50</v>
      </c>
      <c r="S55" s="64">
        <f>CHOOSE($E55,SUMPRODUCT((S56:S$65)*($M56:$M$65)*($C56:H$65=$B55)),IF(NOT(ISNUMBER(Data!L53)),0,ABS(($F55*100)-(Data!L53-$I55)*$K55)),ABS(($F55*100)-(Data!L53-$G55)*$K55))</f>
        <v>43.3333333333333</v>
      </c>
      <c r="T55" s="64">
        <f>CHOOSE($E55,SUMPRODUCT((T56:T$65)*($M56:$M$65)*($C56:I$65=$B55)),IF(NOT(ISNUMBER(Data!M53)),0,ABS(($F55*100)-(Data!M53-$I55)*$K55)),ABS(($F55*100)-(Data!M53-$G55)*$K55))</f>
        <v>43.3333333333333</v>
      </c>
      <c r="U55" s="64">
        <f>CHOOSE($E55,SUMPRODUCT((U56:U$65)*($M56:$M$65)*($C56:J$65=$B55)),IF(NOT(ISNUMBER(Data!N53)),0,ABS(($F55*100)-(Data!N53-$I55)*$K55)),ABS(($F55*100)-(Data!N53-$G55)*$K55))</f>
        <v>58.3333333333333</v>
      </c>
      <c r="V55" s="64">
        <f>CHOOSE($E55,SUMPRODUCT((V56:V$65)*($M56:$M$65)*($C56:K$65=$B55)),IF(NOT(ISNUMBER(Data!O53)),0,ABS(($F55*100)-(Data!O53-$I55)*$K55)),ABS(($F55*100)-(Data!O53-$G55)*$K55))</f>
        <v>58.3333333333333</v>
      </c>
      <c r="W55" s="64">
        <f>CHOOSE($E55,SUMPRODUCT((W56:W$65)*($M56:$M$65)*($C56:L$65=$B55)),IF(NOT(ISNUMBER(Data!P53)),0,ABS(($F55*100)-(Data!P53-$I55)*$K55)),ABS(($F55*100)-(Data!P53-$G55)*$K55))</f>
        <v>38.3333333333333</v>
      </c>
      <c r="X55" s="64">
        <f>CHOOSE($E55,SUMPRODUCT((X56:X$65)*($M56:$M$65)*($C56:M$65=$B55)),IF(NOT(ISNUMBER(Data!Q53)),0,ABS(($F55*100)-(Data!Q53-$I55)*$K55)),ABS(($F55*100)-(Data!Q53-$G55)*$K55))</f>
        <v>43.3333333333333</v>
      </c>
      <c r="Y55" s="64">
        <f>CHOOSE($E55,SUMPRODUCT((Y56:Y$65)*($M56:$M$65)*($C56:N$65=$B55)),IF(NOT(ISNUMBER(Data!R53)),0,ABS(($F55*100)-(Data!R53-$I55)*$K55)),ABS(($F55*100)-(Data!R53-$G55)*$K55))</f>
        <v>8.33333333333333</v>
      </c>
      <c r="Z55" s="64">
        <f>CHOOSE($E55,SUMPRODUCT((Z56:Z$65)*($M56:$M$65)*($C56:O$65=$B55)),IF(NOT(ISNUMBER(Data!S53)),0,ABS(($F55*100)-(Data!S53-$I55)*$K55)),ABS(($F55*100)-(Data!S53-$G55)*$K55))</f>
        <v>30</v>
      </c>
      <c r="AA55" s="64">
        <f>CHOOSE($E55,SUMPRODUCT((AA56:AA$65)*($M56:$M$65)*($C56:P$65=$B55)),IF(NOT(ISNUMBER(Data!T53)),0,ABS(($F55*100)-(Data!T53-$I55)*$K55)),ABS(($F55*100)-(Data!T53-$G55)*$K55))</f>
        <v>31.6666666666667</v>
      </c>
      <c r="AB55" s="64">
        <f>CHOOSE($E55,SUMPRODUCT((AB56:AB$65)*($M56:$M$65)*($C56:Q$65=$B55)),IF(NOT(ISNUMBER(Data!U53)),0,ABS(($F55*100)-(Data!U53-$I55)*$K55)),ABS(($F55*100)-(Data!U53-$G55)*$K55))</f>
        <v>75</v>
      </c>
      <c r="AC55" s="64">
        <f>CHOOSE($E55,SUMPRODUCT((AC56:AC$65)*($M56:$M$65)*($C56:R$65=$B55)),IF(NOT(ISNUMBER(Data!V53)),0,ABS(($F55*100)-(Data!V53-$I55)*$K55)),ABS(($F55*100)-(Data!V53-$G55)*$K55))</f>
        <v>75</v>
      </c>
      <c r="AD55" s="64">
        <f>CHOOSE($E55,SUMPRODUCT((AD56:AD$65)*($M56:$M$65)*($C56:S$65=$B55)),IF(NOT(ISNUMBER(Data!W53)),0,ABS(($F55*100)-(Data!W53-$I55)*$K55)),ABS(($F55*100)-(Data!W53-$G55)*$K55))</f>
        <v>75</v>
      </c>
      <c r="AE55" s="64">
        <f>CHOOSE($E55,SUMPRODUCT((AE56:AE$65)*($M56:$M$65)*($C56:T$65=$B55)),IF(NOT(ISNUMBER(Data!X53)),0,ABS(($F55*100)-(Data!X53-$I55)*$K55)),ABS(($F55*100)-(Data!X53-$G55)*$K55))</f>
        <v>83.3333333333333</v>
      </c>
      <c r="AF55" s="64">
        <f>CHOOSE($E55,SUMPRODUCT((AF56:AF$65)*($M56:$M$65)*($C56:U$65=$B55)),IF(NOT(ISNUMBER(Data!Y53)),0,ABS(($F55*100)-(Data!Y53-$I55)*$K55)),ABS(($F55*100)-(Data!Y53-$G55)*$K55))</f>
        <v>100</v>
      </c>
      <c r="AG55" s="64">
        <f>CHOOSE($E55,SUMPRODUCT((AG56:AG$65)*($M56:$M$65)*($C56:V$65=$B55)),IF(NOT(ISNUMBER(Data!Z53)),0,ABS(($F55*100)-(Data!Z53-$I55)*$K55)),ABS(($F55*100)-(Data!Z53-$G55)*$K55))</f>
        <v>100</v>
      </c>
      <c r="AH55" s="64">
        <f>CHOOSE($E55,SUMPRODUCT((AH56:AH$65)*($M56:$M$65)*($C56:W$65=$B55)),IF(NOT(ISNUMBER(Data!AA53)),0,ABS(($F55*100)-(Data!AA53-$I55)*$K55)),ABS(($F55*100)-(Data!AA53-$G55)*$K55))</f>
        <v>100</v>
      </c>
      <c r="AI55" s="64">
        <f>CHOOSE($E55,SUMPRODUCT((AI56:AI$65)*($M56:$M$65)*($C56:X$65=$B55)),IF(NOT(ISNUMBER(Data!AB53)),0,ABS(($F55*100)-(Data!AB53-$I55)*$K55)),ABS(($F55*100)-(Data!AB53-$G55)*$K55))</f>
        <v>100</v>
      </c>
      <c r="AJ55" s="64">
        <f>CHOOSE($E55,SUMPRODUCT((AJ56:AJ$65)*($M56:$M$65)*($C56:Y$65=$B55)),IF(NOT(ISNUMBER(Data!AC53)),0,ABS(($F55*100)-(Data!AC53-$I55)*$K55)),ABS(($F55*100)-(Data!AC53-$G55)*$K55))</f>
        <v>100</v>
      </c>
      <c r="AK55" s="64">
        <f>CHOOSE($E55,SUMPRODUCT((AK56:AK$65)*($M56:$M$65)*($C56:Z$65=$B55)),IF(NOT(ISNUMBER(Data!AD53)),0,ABS(($F55*100)-(Data!AD53-$I55)*$K55)),ABS(($F55*100)-(Data!AD53-$G55)*$K55))</f>
        <v>46.6666666666667</v>
      </c>
      <c r="AL55" s="64">
        <f>CHOOSE($E55,SUMPRODUCT((AL56:AL$65)*($M56:$M$65)*($C56:AA$65=$B55)),IF(NOT(ISNUMBER(Data!AE53)),0,ABS(($F55*100)-(Data!AE53-$I55)*$K55)),ABS(($F55*100)-(Data!AE53-$G55)*$K55))</f>
        <v>46.6666666666667</v>
      </c>
      <c r="AM55" s="64">
        <f>CHOOSE($E55,SUMPRODUCT((AM56:AM$65)*($M56:$M$65)*($C56:AB$65=$B55)),IF(NOT(ISNUMBER(Data!AF53)),0,ABS(($F55*100)-(Data!AF53-$I55)*$K55)),ABS(($F55*100)-(Data!AF53-$G55)*$K55))</f>
        <v>73.3333333333333</v>
      </c>
      <c r="AN55" s="64">
        <f>CHOOSE($E55,SUMPRODUCT((AN56:AN$65)*($M56:$M$65)*($C56:AC$65=$B55)),IF(NOT(ISNUMBER(Data!AG53)),0,ABS(($F55*100)-(Data!AG53-$I55)*$K55)),ABS(($F55*100)-(Data!AG53-$G55)*$K55))</f>
        <v>48.3333333333333</v>
      </c>
      <c r="AO55" s="64">
        <f>CHOOSE($E55,SUMPRODUCT((AO56:AO$65)*($M56:$M$65)*($C56:AD$65=$B55)),IF(NOT(ISNUMBER(Data!AH53)),0,ABS(($F55*100)-(Data!AH53-$I55)*$K55)),ABS(($F55*100)-(Data!AH53-$G55)*$K55))</f>
        <v>83.3333333333333</v>
      </c>
      <c r="AP55" s="64">
        <f>CHOOSE($E55,SUMPRODUCT((AP56:AP$65)*($M56:$M$65)*($C56:AE$65=$B55)),IF(NOT(ISNUMBER(Data!AI53)),0,ABS(($F55*100)-(Data!AI53-$I55)*$K55)),ABS(($F55*100)-(Data!AI53-$G55)*$K55))</f>
        <v>83.3333333333333</v>
      </c>
      <c r="AQ55" s="64">
        <f>CHOOSE($E55,SUMPRODUCT((AQ56:AQ$65)*($M56:$M$65)*($C56:AF$65=$B55)),IF(NOT(ISNUMBER(Data!AJ53)),0,ABS(($F55*100)-(Data!AJ53-$I55)*$K55)),ABS(($F55*100)-(Data!AJ53-$G55)*$K55))</f>
        <v>83.3333333333333</v>
      </c>
      <c r="AR55" s="64">
        <f>CHOOSE($E55,SUMPRODUCT((AR56:AR$65)*($M56:$M$65)*($C56:AG$65=$B55)),IF(NOT(ISNUMBER(Data!AK53)),0,ABS(($F55*100)-(Data!AK53-$I55)*$K55)),ABS(($F55*100)-(Data!AK53-$G55)*$K55))</f>
        <v>75</v>
      </c>
      <c r="AS55" s="64">
        <f>CHOOSE($E55,SUMPRODUCT((AS56:AS$65)*($M56:$M$65)*($C56:AH$65=$B55)),IF(NOT(ISNUMBER(Data!AL53)),0,ABS(($F55*100)-(Data!AL53-$I55)*$K55)),ABS(($F55*100)-(Data!AL53-$G55)*$K55))</f>
        <v>91.6666666666667</v>
      </c>
      <c r="AT55" s="64">
        <f>CHOOSE($E55,SUMPRODUCT((AT56:AT$65)*($M56:$M$65)*($C56:AI$65=$B55)),IF(NOT(ISNUMBER(Data!AM53)),0,ABS(($F55*100)-(Data!AM53-$I55)*$K55)),ABS(($F55*100)-(Data!AM53-$G55)*$K55))</f>
        <v>38.3333333333333</v>
      </c>
      <c r="AU55" s="64">
        <f>CHOOSE($E55,SUMPRODUCT((AU56:AU$65)*($M56:$M$65)*($C56:AJ$65=$B55)),IF(NOT(ISNUMBER(Data!AN53)),0,ABS(($F55*100)-(Data!AN53-$I55)*$K55)),ABS(($F55*100)-(Data!AN53-$G55)*$K55))</f>
        <v>100</v>
      </c>
      <c r="AV55" s="64">
        <f>CHOOSE($E55,SUMPRODUCT((AV56:AV$65)*($M56:$M$65)*($C56:AK$65=$B55)),IF(NOT(ISNUMBER(Data!AO53)),0,ABS(($F55*100)-(Data!AO53-$I55)*$K55)),ABS(($F55*100)-(Data!AO53-$G55)*$K55))</f>
        <v>95</v>
      </c>
      <c r="AW55" s="64">
        <f>CHOOSE($E55,SUMPRODUCT((AW56:AW$65)*($M56:$M$65)*($C56:AL$65=$B55)),IF(NOT(ISNUMBER(Data!AP53)),0,ABS(($F55*100)-(Data!AP53-$I55)*$K55)),ABS(($F55*100)-(Data!AP53-$G55)*$K55))</f>
        <v>58.3333333333333</v>
      </c>
      <c r="AX55" s="64">
        <f>CHOOSE($E55,SUMPRODUCT((AX56:AX$65)*($M56:$M$65)*($C56:AM$65=$B55)),IF(NOT(ISNUMBER(Data!AQ53)),0,ABS(($F55*100)-(Data!AQ53-$I55)*$K55)),ABS(($F55*100)-(Data!AQ53-$G55)*$K55))</f>
        <v>0</v>
      </c>
      <c r="AY55" s="64">
        <f>CHOOSE($E55,SUMPRODUCT((AY56:AY$65)*($M56:$M$65)*($C56:AN$65=$B55)),IF(NOT(ISNUMBER(Data!AR53)),0,ABS(($F55*100)-(Data!AR53-$I55)*$K55)),ABS(($F55*100)-(Data!AR53-$G55)*$K55))</f>
        <v>45</v>
      </c>
      <c r="AZ55" s="64">
        <f>CHOOSE($E55,SUMPRODUCT((AZ56:AZ$65)*($M56:$M$65)*($C56:AO$65=$B55)),IF(NOT(ISNUMBER(Data!AS53)),0,ABS(($F55*100)-(Data!AS53-$I55)*$K55)),ABS(($F55*100)-(Data!AS53-$G55)*$K55))</f>
        <v>56.6666666666667</v>
      </c>
      <c r="BA55" s="64">
        <f>CHOOSE($E55,SUMPRODUCT((BA56:BA$65)*($M56:$M$65)*($C56:AP$65=$B55)),IF(NOT(ISNUMBER(Data!AT53)),0,ABS(($F55*100)-(Data!AT53-$I55)*$K55)),ABS(($F55*100)-(Data!AT53-$G55)*$K55))</f>
        <v>41.6666666666667</v>
      </c>
      <c r="BB55" s="64">
        <f>CHOOSE($E55,SUMPRODUCT((BB56:BB$65)*($M56:$M$65)*($C56:AQ$65=$B55)),IF(NOT(ISNUMBER(Data!AU53)),0,ABS(($F55*100)-(Data!AU53-$I55)*$K55)),ABS(($F55*100)-(Data!AU53-$G55)*$K55))</f>
        <v>55</v>
      </c>
      <c r="BC55" s="64">
        <f>CHOOSE($E55,SUMPRODUCT((BC56:BC$65)*($M56:$M$65)*($C56:AR$65=$B55)),IF(NOT(ISNUMBER(Data!AV53)),0,ABS(($F55*100)-(Data!AV53-$I55)*$K55)),ABS(($F55*100)-(Data!AV53-$G55)*$K55))</f>
        <v>48.3333333333333</v>
      </c>
      <c r="BD55" s="64">
        <f>CHOOSE($E55,SUMPRODUCT((BD56:BD$65)*($M56:$M$65)*($C56:AS$65=$B55)),IF(NOT(ISNUMBER(Data!AW53)),0,ABS(($F55*100)-(Data!AW53-$I55)*$K55)),ABS(($F55*100)-(Data!AW53-$G55)*$K55))</f>
        <v>48.3333333333333</v>
      </c>
      <c r="BE55" s="64">
        <f>CHOOSE($E55,SUMPRODUCT((BE56:BE$65)*($M56:$M$65)*($C56:AT$65=$B55)),IF(NOT(ISNUMBER(Data!AX53)),0,ABS(($F55*100)-(Data!AX53-$I55)*$K55)),ABS(($F55*100)-(Data!AX53-$G55)*$K55))</f>
        <v>66.6666666666667</v>
      </c>
      <c r="BF55" s="64">
        <f>CHOOSE($E55,SUMPRODUCT((BF56:BF$65)*($M56:$M$65)*($C56:AU$65=$B55)),IF(NOT(ISNUMBER(Data!AY53)),0,ABS(($F55*100)-(Data!AY53-$I55)*$K55)),ABS(($F55*100)-(Data!AY53-$G55)*$K55))</f>
        <v>56.6666666666667</v>
      </c>
      <c r="BG55" s="64">
        <f>CHOOSE($E55,SUMPRODUCT((BG56:BG$65)*($M56:$M$65)*($C56:AV$65=$B55)),IF(NOT(ISNUMBER(Data!AZ53)),0,ABS(($F55*100)-(Data!AZ53-$I55)*$K55)),ABS(($F55*100)-(Data!AZ53-$G55)*$K55))</f>
        <v>65</v>
      </c>
      <c r="BH55" s="64">
        <f>CHOOSE($E55,SUMPRODUCT((BH56:BH$65)*($M56:$M$65)*($C56:AW$65=$B55)),IF(NOT(ISNUMBER(Data!BA53)),0,ABS(($F55*100)-(Data!BA53-$I55)*$K55)),ABS(($F55*100)-(Data!BA53-$G55)*$K55))</f>
        <v>65</v>
      </c>
      <c r="BI55" s="64">
        <f>CHOOSE($E55,SUMPRODUCT((BI56:BI$65)*($M56:$M$65)*($C56:AX$65=$B55)),IF(NOT(ISNUMBER(Data!BB53)),0,ABS(($F55*100)-(Data!BB53-$I55)*$K55)),ABS(($F55*100)-(Data!BB53-$G55)*$K55))</f>
        <v>8.33333333333333</v>
      </c>
      <c r="BJ55" s="64">
        <f>CHOOSE($E55,SUMPRODUCT((BJ56:BJ$65)*($M56:$M$65)*($C56:AY$65=$B55)),IF(NOT(ISNUMBER(Data!BC53)),0,ABS(($F55*100)-(Data!BC53-$I55)*$K55)),ABS(($F55*100)-(Data!BC53-$G55)*$K55))</f>
        <v>13.3333333333333</v>
      </c>
      <c r="BK55" s="64">
        <f>CHOOSE($E55,SUMPRODUCT((BK56:BK$65)*($M56:$M$65)*($C56:AZ$65=$B55)),IF(NOT(ISNUMBER(Data!BD53)),0,ABS(($F55*100)-(Data!BD53-$I55)*$K55)),ABS(($F55*100)-(Data!BD53-$G55)*$K55))</f>
        <v>83.3333333333333</v>
      </c>
      <c r="BM55" s="65"/>
    </row>
    <row r="56" s="21" customFormat="1" spans="1:65">
      <c r="A56" s="24"/>
      <c r="B56" s="24" t="str">
        <f>tblIndicators!B49</f>
        <v>PERSAF_IP_07</v>
      </c>
      <c r="C56" s="24" t="str">
        <f>tblIndicators!C49</f>
        <v>PERSAF_IP</v>
      </c>
      <c r="D56" s="52">
        <f>tblIndicators!D49</f>
        <v>3</v>
      </c>
      <c r="E56" s="52">
        <f>tblIndicators!M49</f>
        <v>3</v>
      </c>
      <c r="F56" s="52">
        <f>tblIndicators!N49</f>
        <v>1</v>
      </c>
      <c r="G56" s="52">
        <f>tblIndicators!Q49</f>
        <v>0</v>
      </c>
      <c r="H56" s="52">
        <f>tblIndicators!R49</f>
        <v>100</v>
      </c>
      <c r="I56" s="52" t="str">
        <f>IF($E56=2,MIN(Data!G54:BD54),"")</f>
        <v/>
      </c>
      <c r="J56" s="52" t="str">
        <f>IF($E56=2,MAX(Data!G54:BD54),"")</f>
        <v/>
      </c>
      <c r="K56" s="54">
        <f t="shared" si="3"/>
        <v>1</v>
      </c>
      <c r="L56" s="62" t="str">
        <f>tblIndicators!Z49</f>
        <v>4.1.7) Political Stability Risk</v>
      </c>
      <c r="M56" s="63">
        <f>tblIndicators!AC49</f>
        <v>0.142857142857143</v>
      </c>
      <c r="N56" s="64">
        <f>CHOOSE($E56,SUMPRODUCT((N57:N$65)*($M57:$M$65)*($C57:C$65=$B56)),IF(NOT(ISNUMBER(Data!G54)),0,ABS(($F56*100)-(Data!G54-$I56)*$K56)),ABS(($F56*100)-(Data!G54-$G56)*$K56))</f>
        <v>35</v>
      </c>
      <c r="O56" s="64">
        <f>CHOOSE($E56,SUMPRODUCT((O57:O$65)*($M57:$M$65)*($C57:D$65=$B56)),IF(NOT(ISNUMBER(Data!H54)),0,ABS(($F56*100)-(Data!H54-$I56)*$K56)),ABS(($F56*100)-(Data!H54-$G56)*$K56))</f>
        <v>65</v>
      </c>
      <c r="P56" s="64">
        <f>CHOOSE($E56,SUMPRODUCT((P57:P$65)*($M57:$M$65)*($C57:E$65=$B56)),IF(NOT(ISNUMBER(Data!I54)),0,ABS(($F56*100)-(Data!I54-$I56)*$K56)),ABS(($F56*100)-(Data!I54-$G56)*$K56))</f>
        <v>45</v>
      </c>
      <c r="Q56" s="64">
        <f>CHOOSE($E56,SUMPRODUCT((Q57:Q$65)*($M57:$M$65)*($C57:F$65=$B56)),IF(NOT(ISNUMBER(Data!J54)),0,ABS(($F56*100)-(Data!J54-$I56)*$K56)),ABS(($F56*100)-(Data!J54-$G56)*$K56))</f>
        <v>65</v>
      </c>
      <c r="R56" s="64">
        <f>CHOOSE($E56,SUMPRODUCT((R57:R$65)*($M57:$M$65)*($C57:G$65=$B56)),IF(NOT(ISNUMBER(Data!K54)),0,ABS(($F56*100)-(Data!K54-$I56)*$K56)),ABS(($F56*100)-(Data!K54-$G56)*$K56))</f>
        <v>65</v>
      </c>
      <c r="S56" s="64">
        <f>CHOOSE($E56,SUMPRODUCT((S57:S$65)*($M57:$M$65)*($C57:H$65=$B56)),IF(NOT(ISNUMBER(Data!L54)),0,ABS(($F56*100)-(Data!L54-$I56)*$K56)),ABS(($F56*100)-(Data!L54-$G56)*$K56))</f>
        <v>90</v>
      </c>
      <c r="T56" s="64">
        <f>CHOOSE($E56,SUMPRODUCT((T57:T$65)*($M57:$M$65)*($C57:I$65=$B56)),IF(NOT(ISNUMBER(Data!M54)),0,ABS(($F56*100)-(Data!M54-$I56)*$K56)),ABS(($F56*100)-(Data!M54-$G56)*$K56))</f>
        <v>90</v>
      </c>
      <c r="U56" s="64">
        <f>CHOOSE($E56,SUMPRODUCT((U57:U$65)*($M57:$M$65)*($C57:J$65=$B56)),IF(NOT(ISNUMBER(Data!N54)),0,ABS(($F56*100)-(Data!N54-$I56)*$K56)),ABS(($F56*100)-(Data!N54-$G56)*$K56))</f>
        <v>95</v>
      </c>
      <c r="V56" s="64">
        <f>CHOOSE($E56,SUMPRODUCT((V57:V$65)*($M57:$M$65)*($C57:K$65=$B56)),IF(NOT(ISNUMBER(Data!O54)),0,ABS(($F56*100)-(Data!O54-$I56)*$K56)),ABS(($F56*100)-(Data!O54-$G56)*$K56))</f>
        <v>95</v>
      </c>
      <c r="W56" s="64">
        <f>CHOOSE($E56,SUMPRODUCT((W57:W$65)*($M57:$M$65)*($C57:L$65=$B56)),IF(NOT(ISNUMBER(Data!P54)),0,ABS(($F56*100)-(Data!P54-$I56)*$K56)),ABS(($F56*100)-(Data!P54-$G56)*$K56))</f>
        <v>90</v>
      </c>
      <c r="X56" s="64">
        <f>CHOOSE($E56,SUMPRODUCT((X57:X$65)*($M57:$M$65)*($C57:M$65=$B56)),IF(NOT(ISNUMBER(Data!Q54)),0,ABS(($F56*100)-(Data!Q54-$I56)*$K56)),ABS(($F56*100)-(Data!Q54-$G56)*$K56))</f>
        <v>60</v>
      </c>
      <c r="Y56" s="64">
        <f>CHOOSE($E56,SUMPRODUCT((Y57:Y$65)*($M57:$M$65)*($C57:N$65=$B56)),IF(NOT(ISNUMBER(Data!R54)),0,ABS(($F56*100)-(Data!R54-$I56)*$K56)),ABS(($F56*100)-(Data!R54-$G56)*$K56))</f>
        <v>55</v>
      </c>
      <c r="Z56" s="64">
        <f>CHOOSE($E56,SUMPRODUCT((Z57:Z$65)*($M57:$M$65)*($C57:O$65=$B56)),IF(NOT(ISNUMBER(Data!S54)),0,ABS(($F56*100)-(Data!S54-$I56)*$K56)),ABS(($F56*100)-(Data!S54-$G56)*$K56))</f>
        <v>80</v>
      </c>
      <c r="AA56" s="64">
        <f>CHOOSE($E56,SUMPRODUCT((AA57:AA$65)*($M57:$M$65)*($C57:P$65=$B56)),IF(NOT(ISNUMBER(Data!T54)),0,ABS(($F56*100)-(Data!T54-$I56)*$K56)),ABS(($F56*100)-(Data!T54-$G56)*$K56))</f>
        <v>90</v>
      </c>
      <c r="AB56" s="64">
        <f>CHOOSE($E56,SUMPRODUCT((AB57:AB$65)*($M57:$M$65)*($C57:Q$65=$B56)),IF(NOT(ISNUMBER(Data!U54)),0,ABS(($F56*100)-(Data!U54-$I56)*$K56)),ABS(($F56*100)-(Data!U54-$G56)*$K56))</f>
        <v>90</v>
      </c>
      <c r="AC56" s="64">
        <f>CHOOSE($E56,SUMPRODUCT((AC57:AC$65)*($M57:$M$65)*($C57:R$65=$B56)),IF(NOT(ISNUMBER(Data!V54)),0,ABS(($F56*100)-(Data!V54-$I56)*$K56)),ABS(($F56*100)-(Data!V54-$G56)*$K56))</f>
        <v>90</v>
      </c>
      <c r="AD56" s="64">
        <f>CHOOSE($E56,SUMPRODUCT((AD57:AD$65)*($M57:$M$65)*($C57:S$65=$B56)),IF(NOT(ISNUMBER(Data!W54)),0,ABS(($F56*100)-(Data!W54-$I56)*$K56)),ABS(($F56*100)-(Data!W54-$G56)*$K56))</f>
        <v>90</v>
      </c>
      <c r="AE56" s="64">
        <f>CHOOSE($E56,SUMPRODUCT((AE57:AE$65)*($M57:$M$65)*($C57:T$65=$B56)),IF(NOT(ISNUMBER(Data!X54)),0,ABS(($F56*100)-(Data!X54-$I56)*$K56)),ABS(($F56*100)-(Data!X54-$G56)*$K56))</f>
        <v>65</v>
      </c>
      <c r="AF56" s="64">
        <f>CHOOSE($E56,SUMPRODUCT((AF57:AF$65)*($M57:$M$65)*($C57:U$65=$B56)),IF(NOT(ISNUMBER(Data!Y54)),0,ABS(($F56*100)-(Data!Y54-$I56)*$K56)),ABS(($F56*100)-(Data!Y54-$G56)*$K56))</f>
        <v>45</v>
      </c>
      <c r="AG56" s="64">
        <f>CHOOSE($E56,SUMPRODUCT((AG57:AG$65)*($M57:$M$65)*($C57:V$65=$B56)),IF(NOT(ISNUMBER(Data!Z54)),0,ABS(($F56*100)-(Data!Z54-$I56)*$K56)),ABS(($F56*100)-(Data!Z54-$G56)*$K56))</f>
        <v>45</v>
      </c>
      <c r="AH56" s="64">
        <f>CHOOSE($E56,SUMPRODUCT((AH57:AH$65)*($M57:$M$65)*($C57:W$65=$B56)),IF(NOT(ISNUMBER(Data!AA54)),0,ABS(($F56*100)-(Data!AA54-$I56)*$K56)),ABS(($F56*100)-(Data!AA54-$G56)*$K56))</f>
        <v>45</v>
      </c>
      <c r="AI56" s="64">
        <f>CHOOSE($E56,SUMPRODUCT((AI57:AI$65)*($M57:$M$65)*($C57:X$65=$B56)),IF(NOT(ISNUMBER(Data!AB54)),0,ABS(($F56*100)-(Data!AB54-$I56)*$K56)),ABS(($F56*100)-(Data!AB54-$G56)*$K56))</f>
        <v>45</v>
      </c>
      <c r="AJ56" s="64">
        <f>CHOOSE($E56,SUMPRODUCT((AJ57:AJ$65)*($M57:$M$65)*($C57:Y$65=$B56)),IF(NOT(ISNUMBER(Data!AC54)),0,ABS(($F56*100)-(Data!AC54-$I56)*$K56)),ABS(($F56*100)-(Data!AC54-$G56)*$K56))</f>
        <v>45</v>
      </c>
      <c r="AK56" s="64">
        <f>CHOOSE($E56,SUMPRODUCT((AK57:AK$65)*($M57:$M$65)*($C57:Z$65=$B56)),IF(NOT(ISNUMBER(Data!AD54)),0,ABS(($F56*100)-(Data!AD54-$I56)*$K56)),ABS(($F56*100)-(Data!AD54-$G56)*$K56))</f>
        <v>80</v>
      </c>
      <c r="AL56" s="64">
        <f>CHOOSE($E56,SUMPRODUCT((AL57:AL$65)*($M57:$M$65)*($C57:AA$65=$B56)),IF(NOT(ISNUMBER(Data!AE54)),0,ABS(($F56*100)-(Data!AE54-$I56)*$K56)),ABS(($F56*100)-(Data!AE54-$G56)*$K56))</f>
        <v>80</v>
      </c>
      <c r="AM56" s="64">
        <f>CHOOSE($E56,SUMPRODUCT((AM57:AM$65)*($M57:$M$65)*($C57:AB$65=$B56)),IF(NOT(ISNUMBER(Data!AF54)),0,ABS(($F56*100)-(Data!AF54-$I56)*$K56)),ABS(($F56*100)-(Data!AF54-$G56)*$K56))</f>
        <v>70</v>
      </c>
      <c r="AN56" s="64">
        <f>CHOOSE($E56,SUMPRODUCT((AN57:AN$65)*($M57:$M$65)*($C57:AC$65=$B56)),IF(NOT(ISNUMBER(Data!AG54)),0,ABS(($F56*100)-(Data!AG54-$I56)*$K56)),ABS(($F56*100)-(Data!AG54-$G56)*$K56))</f>
        <v>25</v>
      </c>
      <c r="AO56" s="64">
        <f>CHOOSE($E56,SUMPRODUCT((AO57:AO$65)*($M57:$M$65)*($C57:AD$65=$B56)),IF(NOT(ISNUMBER(Data!AH54)),0,ABS(($F56*100)-(Data!AH54-$I56)*$K56)),ABS(($F56*100)-(Data!AH54-$G56)*$K56))</f>
        <v>90</v>
      </c>
      <c r="AP56" s="64">
        <f>CHOOSE($E56,SUMPRODUCT((AP57:AP$65)*($M57:$M$65)*($C57:AE$65=$B56)),IF(NOT(ISNUMBER(Data!AI54)),0,ABS(($F56*100)-(Data!AI54-$I56)*$K56)),ABS(($F56*100)-(Data!AI54-$G56)*$K56))</f>
        <v>90</v>
      </c>
      <c r="AQ56" s="64">
        <f>CHOOSE($E56,SUMPRODUCT((AQ57:AQ$65)*($M57:$M$65)*($C57:AF$65=$B56)),IF(NOT(ISNUMBER(Data!AJ54)),0,ABS(($F56*100)-(Data!AJ54-$I56)*$K56)),ABS(($F56*100)-(Data!AJ54-$G56)*$K56))</f>
        <v>80</v>
      </c>
      <c r="AR56" s="64">
        <f>CHOOSE($E56,SUMPRODUCT((AR57:AR$65)*($M57:$M$65)*($C57:AG$65=$B56)),IF(NOT(ISNUMBER(Data!AK54)),0,ABS(($F56*100)-(Data!AK54-$I56)*$K56)),ABS(($F56*100)-(Data!AK54-$G56)*$K56))</f>
        <v>60</v>
      </c>
      <c r="AS56" s="64">
        <f>CHOOSE($E56,SUMPRODUCT((AS57:AS$65)*($M57:$M$65)*($C57:AH$65=$B56)),IF(NOT(ISNUMBER(Data!AL54)),0,ABS(($F56*100)-(Data!AL54-$I56)*$K56)),ABS(($F56*100)-(Data!AL54-$G56)*$K56))</f>
        <v>70</v>
      </c>
      <c r="AT56" s="64">
        <f>CHOOSE($E56,SUMPRODUCT((AT57:AT$65)*($M57:$M$65)*($C57:AI$65=$B56)),IF(NOT(ISNUMBER(Data!AM54)),0,ABS(($F56*100)-(Data!AM54-$I56)*$K56)),ABS(($F56*100)-(Data!AM54-$G56)*$K56))</f>
        <v>35</v>
      </c>
      <c r="AU56" s="64">
        <f>CHOOSE($E56,SUMPRODUCT((AU57:AU$65)*($M57:$M$65)*($C57:AJ$65=$B56)),IF(NOT(ISNUMBER(Data!AN54)),0,ABS(($F56*100)-(Data!AN54-$I56)*$K56)),ABS(($F56*100)-(Data!AN54-$G56)*$K56))</f>
        <v>50</v>
      </c>
      <c r="AV56" s="64">
        <f>CHOOSE($E56,SUMPRODUCT((AV57:AV$65)*($M57:$M$65)*($C57:AK$65=$B56)),IF(NOT(ISNUMBER(Data!AO54)),0,ABS(($F56*100)-(Data!AO54-$I56)*$K56)),ABS(($F56*100)-(Data!AO54-$G56)*$K56))</f>
        <v>40</v>
      </c>
      <c r="AW56" s="64">
        <f>CHOOSE($E56,SUMPRODUCT((AW57:AW$65)*($M57:$M$65)*($C57:AL$65=$B56)),IF(NOT(ISNUMBER(Data!AP54)),0,ABS(($F56*100)-(Data!AP54-$I56)*$K56)),ABS(($F56*100)-(Data!AP54-$G56)*$K56))</f>
        <v>60</v>
      </c>
      <c r="AX56" s="64">
        <f>CHOOSE($E56,SUMPRODUCT((AX57:AX$65)*($M57:$M$65)*($C57:AM$65=$B56)),IF(NOT(ISNUMBER(Data!AQ54)),0,ABS(($F56*100)-(Data!AQ54-$I56)*$K56)),ABS(($F56*100)-(Data!AQ54-$G56)*$K56))</f>
        <v>45</v>
      </c>
      <c r="AY56" s="64">
        <f>CHOOSE($E56,SUMPRODUCT((AY57:AY$65)*($M57:$M$65)*($C57:AN$65=$B56)),IF(NOT(ISNUMBER(Data!AR54)),0,ABS(($F56*100)-(Data!AR54-$I56)*$K56)),ABS(($F56*100)-(Data!AR54-$G56)*$K56))</f>
        <v>55</v>
      </c>
      <c r="AZ56" s="64">
        <f>CHOOSE($E56,SUMPRODUCT((AZ57:AZ$65)*($M57:$M$65)*($C57:AO$65=$B56)),IF(NOT(ISNUMBER(Data!AS54)),0,ABS(($F56*100)-(Data!AS54-$I56)*$K56)),ABS(($F56*100)-(Data!AS54-$G56)*$K56))</f>
        <v>75</v>
      </c>
      <c r="BA56" s="64">
        <f>CHOOSE($E56,SUMPRODUCT((BA57:BA$65)*($M57:$M$65)*($C57:AP$65=$B56)),IF(NOT(ISNUMBER(Data!AT54)),0,ABS(($F56*100)-(Data!AT54-$I56)*$K56)),ABS(($F56*100)-(Data!AT54-$G56)*$K56))</f>
        <v>70</v>
      </c>
      <c r="BB56" s="64">
        <f>CHOOSE($E56,SUMPRODUCT((BB57:BB$65)*($M57:$M$65)*($C57:AQ$65=$B56)),IF(NOT(ISNUMBER(Data!AU54)),0,ABS(($F56*100)-(Data!AU54-$I56)*$K56)),ABS(($F56*100)-(Data!AU54-$G56)*$K56))</f>
        <v>85</v>
      </c>
      <c r="BC56" s="64">
        <f>CHOOSE($E56,SUMPRODUCT((BC57:BC$65)*($M57:$M$65)*($C57:AR$65=$B56)),IF(NOT(ISNUMBER(Data!AV54)),0,ABS(($F56*100)-(Data!AV54-$I56)*$K56)),ABS(($F56*100)-(Data!AV54-$G56)*$K56))</f>
        <v>65</v>
      </c>
      <c r="BD56" s="64">
        <f>CHOOSE($E56,SUMPRODUCT((BD57:BD$65)*($M57:$M$65)*($C57:AS$65=$B56)),IF(NOT(ISNUMBER(Data!AW54)),0,ABS(($F56*100)-(Data!AW54-$I56)*$K56)),ABS(($F56*100)-(Data!AW54-$G56)*$K56))</f>
        <v>65</v>
      </c>
      <c r="BE56" s="64">
        <f>CHOOSE($E56,SUMPRODUCT((BE57:BE$65)*($M57:$M$65)*($C57:AT$65=$B56)),IF(NOT(ISNUMBER(Data!AX54)),0,ABS(($F56*100)-(Data!AX54-$I56)*$K56)),ABS(($F56*100)-(Data!AX54-$G56)*$K56))</f>
        <v>80</v>
      </c>
      <c r="BF56" s="64">
        <f>CHOOSE($E56,SUMPRODUCT((BF57:BF$65)*($M57:$M$65)*($C57:AU$65=$B56)),IF(NOT(ISNUMBER(Data!AY54)),0,ABS(($F56*100)-(Data!AY54-$I56)*$K56)),ABS(($F56*100)-(Data!AY54-$G56)*$K56))</f>
        <v>35</v>
      </c>
      <c r="BG56" s="64">
        <f>CHOOSE($E56,SUMPRODUCT((BG57:BG$65)*($M57:$M$65)*($C57:AV$65=$B56)),IF(NOT(ISNUMBER(Data!AZ54)),0,ABS(($F56*100)-(Data!AZ54-$I56)*$K56)),ABS(($F56*100)-(Data!AZ54-$G56)*$K56))</f>
        <v>75</v>
      </c>
      <c r="BH56" s="64">
        <f>CHOOSE($E56,SUMPRODUCT((BH57:BH$65)*($M57:$M$65)*($C57:AW$65=$B56)),IF(NOT(ISNUMBER(Data!BA54)),0,ABS(($F56*100)-(Data!BA54-$I56)*$K56)),ABS(($F56*100)-(Data!BA54-$G56)*$K56))</f>
        <v>75</v>
      </c>
      <c r="BI56" s="64">
        <f>CHOOSE($E56,SUMPRODUCT((BI57:BI$65)*($M57:$M$65)*($C57:AX$65=$B56)),IF(NOT(ISNUMBER(Data!BB54)),0,ABS(($F56*100)-(Data!BB54-$I56)*$K56)),ABS(($F56*100)-(Data!BB54-$G56)*$K56))</f>
        <v>90</v>
      </c>
      <c r="BJ56" s="64">
        <f>CHOOSE($E56,SUMPRODUCT((BJ57:BJ$65)*($M57:$M$65)*($C57:AY$65=$B56)),IF(NOT(ISNUMBER(Data!BC54)),0,ABS(($F56*100)-(Data!BC54-$I56)*$K56)),ABS(($F56*100)-(Data!BC54-$G56)*$K56))</f>
        <v>45</v>
      </c>
      <c r="BK56" s="64">
        <f>CHOOSE($E56,SUMPRODUCT((BK57:BK$65)*($M57:$M$65)*($C57:AZ$65=$B56)),IF(NOT(ISNUMBER(Data!BD54)),0,ABS(($F56*100)-(Data!BD54-$I56)*$K56)),ABS(($F56*100)-(Data!BD54-$G56)*$K56))</f>
        <v>70</v>
      </c>
      <c r="BM56" s="65"/>
    </row>
    <row r="57" s="21" customFormat="1" spans="1:65">
      <c r="A57" s="30"/>
      <c r="B57" s="30" t="str">
        <f>tblIndicators!B50</f>
        <v>PERSAF_OP</v>
      </c>
      <c r="C57" s="30" t="str">
        <f>tblIndicators!C50</f>
        <v>PERSAF</v>
      </c>
      <c r="D57" s="53">
        <f>tblIndicators!D50</f>
        <v>2</v>
      </c>
      <c r="E57" s="53">
        <f>tblIndicators!M50</f>
        <v>1</v>
      </c>
      <c r="F57" s="53">
        <f>tblIndicators!N50</f>
        <v>0</v>
      </c>
      <c r="G57" s="53">
        <f>tblIndicators!Q50</f>
        <v>0</v>
      </c>
      <c r="H57" s="53">
        <f>tblIndicators!R50</f>
        <v>0</v>
      </c>
      <c r="I57" s="52" t="str">
        <f>IF($E57=2,MIN(Data!G55:BD55),"")</f>
        <v/>
      </c>
      <c r="J57" s="52" t="str">
        <f>IF($E57=2,MAX(Data!G55:BD55),"")</f>
        <v/>
      </c>
      <c r="K57" s="58" t="str">
        <f t="shared" si="3"/>
        <v/>
      </c>
      <c r="L57" s="59" t="str">
        <f>tblIndicators!Z50</f>
        <v>4.2) Personal Safety (Outputs)</v>
      </c>
      <c r="M57" s="60">
        <f>tblIndicators!AC50</f>
        <v>0.5</v>
      </c>
      <c r="N57" s="61">
        <f>CHOOSE($E57,SUMPRODUCT((N58:N$65)*($M58:$M$65)*($C58:C$65=$B57)),IF(NOT(ISNUMBER(Data!G54)),0,ABS(($F57*100)-(Data!G54-$I57)*$K57)),ABS(($F57*100)-(Data!G54-$G57)*$K57))</f>
        <v>90.7294674943236</v>
      </c>
      <c r="O57" s="61">
        <f>CHOOSE($E57,SUMPRODUCT((O58:O$65)*($M58:$M$65)*($C58:D$65=$B57)),IF(NOT(ISNUMBER(Data!H54)),0,ABS(($F57*100)-(Data!H54-$I57)*$K57)),ABS(($F57*100)-(Data!H54-$G57)*$K57))</f>
        <v>54.9590368105442</v>
      </c>
      <c r="P57" s="61">
        <f>CHOOSE($E57,SUMPRODUCT((P58:P$65)*($M58:$M$65)*($C58:E$65=$B57)),IF(NOT(ISNUMBER(Data!I54)),0,ABS(($F57*100)-(Data!I54-$I57)*$K57)),ABS(($F57*100)-(Data!I54-$G57)*$K57))</f>
        <v>58.5447117032302</v>
      </c>
      <c r="Q57" s="61">
        <f>CHOOSE($E57,SUMPRODUCT((Q58:Q$65)*($M58:$M$65)*($C58:F$65=$B57)),IF(NOT(ISNUMBER(Data!J54)),0,ABS(($F57*100)-(Data!J54-$I57)*$K57)),ABS(($F57*100)-(Data!J54-$G57)*$K57))</f>
        <v>63.0458481039733</v>
      </c>
      <c r="R57" s="61">
        <f>CHOOSE($E57,SUMPRODUCT((R58:R$65)*($M58:$M$65)*($C58:G$65=$B57)),IF(NOT(ISNUMBER(Data!K54)),0,ABS(($F57*100)-(Data!K54-$I57)*$K57)),ABS(($F57*100)-(Data!K54-$G57)*$K57))</f>
        <v>61.3210215886388</v>
      </c>
      <c r="S57" s="61">
        <f>CHOOSE($E57,SUMPRODUCT((S58:S$65)*($M58:$M$65)*($C58:H$65=$B57)),IF(NOT(ISNUMBER(Data!L54)),0,ABS(($F57*100)-(Data!L54-$I57)*$K57)),ABS(($F57*100)-(Data!L54-$G57)*$K57))</f>
        <v>52.8418002261622</v>
      </c>
      <c r="T57" s="61">
        <f>CHOOSE($E57,SUMPRODUCT((T58:T$65)*($M58:$M$65)*($C58:I$65=$B57)),IF(NOT(ISNUMBER(Data!M54)),0,ABS(($F57*100)-(Data!M54-$I57)*$K57)),ABS(($F57*100)-(Data!M54-$G57)*$K57))</f>
        <v>55.4369339810207</v>
      </c>
      <c r="U57" s="61">
        <f>CHOOSE($E57,SUMPRODUCT((U58:U$65)*($M58:$M$65)*($C58:J$65=$B57)),IF(NOT(ISNUMBER(Data!N54)),0,ABS(($F57*100)-(Data!N54-$I57)*$K57)),ABS(($F57*100)-(Data!N54-$G57)*$K57))</f>
        <v>76.3060250417356</v>
      </c>
      <c r="V57" s="61">
        <f>CHOOSE($E57,SUMPRODUCT((V58:V$65)*($M58:$M$65)*($C58:K$65=$B57)),IF(NOT(ISNUMBER(Data!O54)),0,ABS(($F57*100)-(Data!O54-$I57)*$K57)),ABS(($F57*100)-(Data!O54-$G57)*$K57))</f>
        <v>72.2019262045262</v>
      </c>
      <c r="W57" s="61">
        <f>CHOOSE($E57,SUMPRODUCT((W58:W$65)*($M58:$M$65)*($C58:L$65=$B57)),IF(NOT(ISNUMBER(Data!P54)),0,ABS(($F57*100)-(Data!P54-$I57)*$K57)),ABS(($F57*100)-(Data!P54-$G57)*$K57))</f>
        <v>52.7707300149168</v>
      </c>
      <c r="X57" s="61">
        <f>CHOOSE($E57,SUMPRODUCT((X58:X$65)*($M58:$M$65)*($C58:M$65=$B57)),IF(NOT(ISNUMBER(Data!Q54)),0,ABS(($F57*100)-(Data!Q54-$I57)*$K57)),ABS(($F57*100)-(Data!Q54-$G57)*$K57))</f>
        <v>52.2282917894188</v>
      </c>
      <c r="Y57" s="61">
        <f>CHOOSE($E57,SUMPRODUCT((Y58:Y$65)*($M58:$M$65)*($C58:N$65=$B57)),IF(NOT(ISNUMBER(Data!R54)),0,ABS(($F57*100)-(Data!R54-$I57)*$K57)),ABS(($F57*100)-(Data!R54-$G57)*$K57))</f>
        <v>69.1446693915832</v>
      </c>
      <c r="Z57" s="61">
        <f>CHOOSE($E57,SUMPRODUCT((Z58:Z$65)*($M58:$M$65)*($C58:O$65=$B57)),IF(NOT(ISNUMBER(Data!S54)),0,ABS(($F57*100)-(Data!S54-$I57)*$K57)),ABS(($F57*100)-(Data!S54-$G57)*$K57))</f>
        <v>55.7275687568966</v>
      </c>
      <c r="AA57" s="61">
        <f>CHOOSE($E57,SUMPRODUCT((AA58:AA$65)*($M58:$M$65)*($C58:P$65=$B57)),IF(NOT(ISNUMBER(Data!T54)),0,ABS(($F57*100)-(Data!T54-$I57)*$K57)),ABS(($F57*100)-(Data!T54-$G57)*$K57))</f>
        <v>50.0822060163294</v>
      </c>
      <c r="AB57" s="61">
        <f>CHOOSE($E57,SUMPRODUCT((AB58:AB$65)*($M58:$M$65)*($C58:Q$65=$B57)),IF(NOT(ISNUMBER(Data!U54)),0,ABS(($F57*100)-(Data!U54-$I57)*$K57)),ABS(($F57*100)-(Data!U54-$G57)*$K57))</f>
        <v>52.8914989505327</v>
      </c>
      <c r="AC57" s="61">
        <f>CHOOSE($E57,SUMPRODUCT((AC58:AC$65)*($M58:$M$65)*($C58:R$65=$B57)),IF(NOT(ISNUMBER(Data!V54)),0,ABS(($F57*100)-(Data!V54-$I57)*$K57)),ABS(($F57*100)-(Data!V54-$G57)*$K57))</f>
        <v>65.8087414091049</v>
      </c>
      <c r="AD57" s="61">
        <f>CHOOSE($E57,SUMPRODUCT((AD58:AD$65)*($M58:$M$65)*($C58:S$65=$B57)),IF(NOT(ISNUMBER(Data!W54)),0,ABS(($F57*100)-(Data!W54-$I57)*$K57)),ABS(($F57*100)-(Data!W54-$G57)*$K57))</f>
        <v>70.4379877539736</v>
      </c>
      <c r="AE57" s="61">
        <f>CHOOSE($E57,SUMPRODUCT((AE58:AE$65)*($M58:$M$65)*($C58:T$65=$B57)),IF(NOT(ISNUMBER(Data!X54)),0,ABS(($F57*100)-(Data!X54-$I57)*$K57)),ABS(($F57*100)-(Data!X54-$G57)*$K57))</f>
        <v>77.5659488168805</v>
      </c>
      <c r="AF57" s="61">
        <f>CHOOSE($E57,SUMPRODUCT((AF58:AF$65)*($M58:$M$65)*($C58:U$65=$B57)),IF(NOT(ISNUMBER(Data!Y54)),0,ABS(($F57*100)-(Data!Y54-$I57)*$K57)),ABS(($F57*100)-(Data!Y54-$G57)*$K57))</f>
        <v>61.7313211234446</v>
      </c>
      <c r="AG57" s="61">
        <f>CHOOSE($E57,SUMPRODUCT((AG58:AG$65)*($M58:$M$65)*($C58:V$65=$B57)),IF(NOT(ISNUMBER(Data!Z54)),0,ABS(($F57*100)-(Data!Z54-$I57)*$K57)),ABS(($F57*100)-(Data!Z54-$G57)*$K57))</f>
        <v>64.5986176350725</v>
      </c>
      <c r="AH57" s="61">
        <f>CHOOSE($E57,SUMPRODUCT((AH58:AH$65)*($M58:$M$65)*($C58:W$65=$B57)),IF(NOT(ISNUMBER(Data!AA54)),0,ABS(($F57*100)-(Data!AA54-$I57)*$K57)),ABS(($F57*100)-(Data!AA54-$G57)*$K57))</f>
        <v>67.4995187978632</v>
      </c>
      <c r="AI57" s="61">
        <f>CHOOSE($E57,SUMPRODUCT((AI58:AI$65)*($M58:$M$65)*($C58:X$65=$B57)),IF(NOT(ISNUMBER(Data!AB54)),0,ABS(($F57*100)-(Data!AB54-$I57)*$K57)),ABS(($F57*100)-(Data!AB54-$G57)*$K57))</f>
        <v>62.3023676350725</v>
      </c>
      <c r="AJ57" s="61">
        <f>CHOOSE($E57,SUMPRODUCT((AJ58:AJ$65)*($M58:$M$65)*($C58:Y$65=$B57)),IF(NOT(ISNUMBER(Data!AC54)),0,ABS(($F57*100)-(Data!AC54-$I57)*$K57)),ABS(($F57*100)-(Data!AC54-$G57)*$K57))</f>
        <v>68.4861176350725</v>
      </c>
      <c r="AK57" s="61">
        <f>CHOOSE($E57,SUMPRODUCT((AK58:AK$65)*($M58:$M$65)*($C58:Z$65=$B57)),IF(NOT(ISNUMBER(Data!AD54)),0,ABS(($F57*100)-(Data!AD54-$I57)*$K57)),ABS(($F57*100)-(Data!AD54-$G57)*$K57))</f>
        <v>71.9886207212611</v>
      </c>
      <c r="AL57" s="61">
        <f>CHOOSE($E57,SUMPRODUCT((AL58:AL$65)*($M58:$M$65)*($C58:AA$65=$B57)),IF(NOT(ISNUMBER(Data!AE54)),0,ABS(($F57*100)-(Data!AE54-$I57)*$K57)),ABS(($F57*100)-(Data!AE54-$G57)*$K57))</f>
        <v>70.1606683089255</v>
      </c>
      <c r="AM57" s="61">
        <f>CHOOSE($E57,SUMPRODUCT((AM58:AM$65)*($M58:$M$65)*($C58:AB$65=$B57)),IF(NOT(ISNUMBER(Data!AF54)),0,ABS(($F57*100)-(Data!AF54-$I57)*$K57)),ABS(($F57*100)-(Data!AF54-$G57)*$K57))</f>
        <v>62.2769855622932</v>
      </c>
      <c r="AN57" s="61">
        <f>CHOOSE($E57,SUMPRODUCT((AN58:AN$65)*($M58:$M$65)*($C58:AC$65=$B57)),IF(NOT(ISNUMBER(Data!AG54)),0,ABS(($F57*100)-(Data!AG54-$I57)*$K57)),ABS(($F57*100)-(Data!AG54-$G57)*$K57))</f>
        <v>66.5148044721974</v>
      </c>
      <c r="AO57" s="61">
        <f>CHOOSE($E57,SUMPRODUCT((AO58:AO$65)*($M58:$M$65)*($C58:AD$65=$B57)),IF(NOT(ISNUMBER(Data!AH54)),0,ABS(($F57*100)-(Data!AH54-$I57)*$K57)),ABS(($F57*100)-(Data!AH54-$G57)*$K57))</f>
        <v>82.4249607725849</v>
      </c>
      <c r="AP57" s="61">
        <f>CHOOSE($E57,SUMPRODUCT((AP58:AP$65)*($M58:$M$65)*($C58:AE$65=$B57)),IF(NOT(ISNUMBER(Data!AI54)),0,ABS(($F57*100)-(Data!AI54-$I57)*$K57)),ABS(($F57*100)-(Data!AI54-$G57)*$K57))</f>
        <v>84.2047902128635</v>
      </c>
      <c r="AQ57" s="61">
        <f>CHOOSE($E57,SUMPRODUCT((AQ58:AQ$65)*($M58:$M$65)*($C58:AF$65=$B57)),IF(NOT(ISNUMBER(Data!AJ54)),0,ABS(($F57*100)-(Data!AJ54-$I57)*$K57)),ABS(($F57*100)-(Data!AJ54-$G57)*$K57))</f>
        <v>86.0789602813291</v>
      </c>
      <c r="AR57" s="61">
        <f>CHOOSE($E57,SUMPRODUCT((AR58:AR$65)*($M58:$M$65)*($C58:AG$65=$B57)),IF(NOT(ISNUMBER(Data!AK54)),0,ABS(($F57*100)-(Data!AK54-$I57)*$K57)),ABS(($F57*100)-(Data!AK54-$G57)*$K57))</f>
        <v>77.951698888786</v>
      </c>
      <c r="AS57" s="61">
        <f>CHOOSE($E57,SUMPRODUCT((AS58:AS$65)*($M58:$M$65)*($C58:AH$65=$B57)),IF(NOT(ISNUMBER(Data!AL54)),0,ABS(($F57*100)-(Data!AL54-$I57)*$K57)),ABS(($F57*100)-(Data!AL54-$G57)*$K57))</f>
        <v>76.8215398374525</v>
      </c>
      <c r="AT57" s="61">
        <f>CHOOSE($E57,SUMPRODUCT((AT58:AT$65)*($M58:$M$65)*($C58:AI$65=$B57)),IF(NOT(ISNUMBER(Data!AM54)),0,ABS(($F57*100)-(Data!AM54-$I57)*$K57)),ABS(($F57*100)-(Data!AM54-$G57)*$K57))</f>
        <v>67.1814007468226</v>
      </c>
      <c r="AU57" s="61">
        <f>CHOOSE($E57,SUMPRODUCT((AU58:AU$65)*($M58:$M$65)*($C58:AJ$65=$B57)),IF(NOT(ISNUMBER(Data!AN54)),0,ABS(($F57*100)-(Data!AN54-$I57)*$K57)),ABS(($F57*100)-(Data!AN54-$G57)*$K57))</f>
        <v>74.0875864376416</v>
      </c>
      <c r="AV57" s="61">
        <f>CHOOSE($E57,SUMPRODUCT((AV58:AV$65)*($M58:$M$65)*($C58:AK$65=$B57)),IF(NOT(ISNUMBER(Data!AO54)),0,ABS(($F57*100)-(Data!AO54-$I57)*$K57)),ABS(($F57*100)-(Data!AO54-$G57)*$K57))</f>
        <v>85.3772033824132</v>
      </c>
      <c r="AW57" s="61">
        <f>CHOOSE($E57,SUMPRODUCT((AW58:AW$65)*($M58:$M$65)*($C58:AL$65=$B57)),IF(NOT(ISNUMBER(Data!AP54)),0,ABS(($F57*100)-(Data!AP54-$I57)*$K57)),ABS(($F57*100)-(Data!AP54-$G57)*$K57))</f>
        <v>71.6234118770673</v>
      </c>
      <c r="AX57" s="61">
        <f>CHOOSE($E57,SUMPRODUCT((AX58:AX$65)*($M58:$M$65)*($C58:AM$65=$B57)),IF(NOT(ISNUMBER(Data!AQ54)),0,ABS(($F57*100)-(Data!AQ54-$I57)*$K57)),ABS(($F57*100)-(Data!AQ54-$G57)*$K57))</f>
        <v>85.5271540233558</v>
      </c>
      <c r="AY57" s="61">
        <f>CHOOSE($E57,SUMPRODUCT((AY58:AY$65)*($M58:$M$65)*($C58:AN$65=$B57)),IF(NOT(ISNUMBER(Data!AR54)),0,ABS(($F57*100)-(Data!AR54-$I57)*$K57)),ABS(($F57*100)-(Data!AR54-$G57)*$K57))</f>
        <v>84.7718021064342</v>
      </c>
      <c r="AZ57" s="61">
        <f>CHOOSE($E57,SUMPRODUCT((AZ58:AZ$65)*($M58:$M$65)*($C58:AO$65=$B57)),IF(NOT(ISNUMBER(Data!AS54)),0,ABS(($F57*100)-(Data!AS54-$I57)*$K57)),ABS(($F57*100)-(Data!AS54-$G57)*$K57))</f>
        <v>73.2343002197638</v>
      </c>
      <c r="BA57" s="61">
        <f>CHOOSE($E57,SUMPRODUCT((BA58:BA$65)*($M58:$M$65)*($C58:AP$65=$B57)),IF(NOT(ISNUMBER(Data!AT54)),0,ABS(($F57*100)-(Data!AT54-$I57)*$K57)),ABS(($F57*100)-(Data!AT54-$G57)*$K57))</f>
        <v>69.4771644569517</v>
      </c>
      <c r="BB57" s="61">
        <f>CHOOSE($E57,SUMPRODUCT((BB58:BB$65)*($M58:$M$65)*($C58:AQ$65=$B57)),IF(NOT(ISNUMBER(Data!AU54)),0,ABS(($F57*100)-(Data!AU54-$I57)*$K57)),ABS(($F57*100)-(Data!AU54-$G57)*$K57))</f>
        <v>71.987827013595</v>
      </c>
      <c r="BC57" s="61">
        <f>CHOOSE($E57,SUMPRODUCT((BC58:BC$65)*($M58:$M$65)*($C58:AR$65=$B57)),IF(NOT(ISNUMBER(Data!AV54)),0,ABS(($F57*100)-(Data!AV54-$I57)*$K57)),ABS(($F57*100)-(Data!AV54-$G57)*$K57))</f>
        <v>62.8328782096812</v>
      </c>
      <c r="BD57" s="61">
        <f>CHOOSE($E57,SUMPRODUCT((BD58:BD$65)*($M58:$M$65)*($C58:AS$65=$B57)),IF(NOT(ISNUMBER(Data!AW54)),0,ABS(($F57*100)-(Data!AW54-$I57)*$K57)),ABS(($F57*100)-(Data!AW54-$G57)*$K57))</f>
        <v>68.4005853435169</v>
      </c>
      <c r="BE57" s="61">
        <f>CHOOSE($E57,SUMPRODUCT((BE58:BE$65)*($M58:$M$65)*($C58:AT$65=$B57)),IF(NOT(ISNUMBER(Data!AX54)),0,ABS(($F57*100)-(Data!AX54-$I57)*$K57)),ABS(($F57*100)-(Data!AX54-$G57)*$K57))</f>
        <v>72.3912612624838</v>
      </c>
      <c r="BF57" s="61">
        <f>CHOOSE($E57,SUMPRODUCT((BF58:BF$65)*($M58:$M$65)*($C58:AU$65=$B57)),IF(NOT(ISNUMBER(Data!AY54)),0,ABS(($F57*100)-(Data!AY54-$I57)*$K57)),ABS(($F57*100)-(Data!AY54-$G57)*$K57))</f>
        <v>76.0154885833899</v>
      </c>
      <c r="BG57" s="61">
        <f>CHOOSE($E57,SUMPRODUCT((BG58:BG$65)*($M58:$M$65)*($C58:AV$65=$B57)),IF(NOT(ISNUMBER(Data!AZ54)),0,ABS(($F57*100)-(Data!AZ54-$I57)*$K57)),ABS(($F57*100)-(Data!AZ54-$G57)*$K57))</f>
        <v>61.6156751469352</v>
      </c>
      <c r="BH57" s="61">
        <f>CHOOSE($E57,SUMPRODUCT((BH58:BH$65)*($M58:$M$65)*($C58:AW$65=$B57)),IF(NOT(ISNUMBER(Data!BA54)),0,ABS(($F57*100)-(Data!BA54-$I57)*$K57)),ABS(($F57*100)-(Data!BA54-$G57)*$K57))</f>
        <v>65.2981353104183</v>
      </c>
      <c r="BI57" s="61">
        <f>CHOOSE($E57,SUMPRODUCT((BI58:BI$65)*($M58:$M$65)*($C58:AX$65=$B57)),IF(NOT(ISNUMBER(Data!BB54)),0,ABS(($F57*100)-(Data!BB54-$I57)*$K57)),ABS(($F57*100)-(Data!BB54-$G57)*$K57))</f>
        <v>82.0572349525526</v>
      </c>
      <c r="BJ57" s="61">
        <f>CHOOSE($E57,SUMPRODUCT((BJ58:BJ$65)*($M58:$M$65)*($C58:AY$65=$B57)),IF(NOT(ISNUMBER(Data!BC54)),0,ABS(($F57*100)-(Data!BC54-$I57)*$K57)),ABS(($F57*100)-(Data!BC54-$G57)*$K57))</f>
        <v>67.6370966697512</v>
      </c>
      <c r="BK57" s="61">
        <f>CHOOSE($E57,SUMPRODUCT((BK58:BK$65)*($M58:$M$65)*($C58:AZ$65=$B57)),IF(NOT(ISNUMBER(Data!BD54)),0,ABS(($F57*100)-(Data!BD54-$I57)*$K57)),ABS(($F57*100)-(Data!BD54-$G57)*$K57))</f>
        <v>61.359056222993</v>
      </c>
      <c r="BM57" s="65"/>
    </row>
    <row r="58" s="22" customFormat="1" spans="1:65">
      <c r="A58" s="24"/>
      <c r="B58" s="24" t="str">
        <f>tblIndicators!B51</f>
        <v>PERSAF_OP_01</v>
      </c>
      <c r="C58" s="24" t="str">
        <f>tblIndicators!C51</f>
        <v>PERSAF_OP</v>
      </c>
      <c r="D58" s="52">
        <f>tblIndicators!D51</f>
        <v>3</v>
      </c>
      <c r="E58" s="52">
        <f>tblIndicators!M51</f>
        <v>2</v>
      </c>
      <c r="F58" s="52">
        <f>tblIndicators!N51</f>
        <v>1</v>
      </c>
      <c r="G58" s="52">
        <f>tblIndicators!Q51</f>
        <v>0</v>
      </c>
      <c r="H58" s="52">
        <f>tblIndicators!R51</f>
        <v>0</v>
      </c>
      <c r="I58" s="52">
        <f>IF($E58=2,MIN(Data!G56:BD56),"")</f>
        <v>1</v>
      </c>
      <c r="J58" s="52">
        <f>IF($E58=2,MAX(Data!G56:BD56),"")</f>
        <v>5</v>
      </c>
      <c r="K58" s="54">
        <f t="shared" si="3"/>
        <v>25</v>
      </c>
      <c r="L58" s="62" t="str">
        <f>tblIndicators!Z51</f>
        <v>4.2.1) Prevalence of petty crime</v>
      </c>
      <c r="M58" s="63">
        <f>tblIndicators!AC51</f>
        <v>0.125</v>
      </c>
      <c r="N58" s="64">
        <f>CHOOSE($E58,SUMPRODUCT((N59:N$65)*($M59:$M$65)*($C59:C$65=$B58)),IF(NOT(ISNUMBER(Data!G56)),0,ABS(($F58*100)-(Data!G56-$I58)*$K58)),ABS(($F58*100)-(Data!G56-$G58)*$K58))</f>
        <v>100</v>
      </c>
      <c r="O58" s="64">
        <f>CHOOSE($E58,SUMPRODUCT((O59:O$65)*($M59:$M$65)*($C59:D$65=$B58)),IF(NOT(ISNUMBER(Data!H56)),0,ABS(($F58*100)-(Data!H56-$I58)*$K58)),ABS(($F58*100)-(Data!H56-$G58)*$K58))</f>
        <v>0</v>
      </c>
      <c r="P58" s="64">
        <f>CHOOSE($E58,SUMPRODUCT((P59:P$65)*($M59:$M$65)*($C59:E$65=$B58)),IF(NOT(ISNUMBER(Data!I56)),0,ABS(($F58*100)-(Data!I56-$I58)*$K58)),ABS(($F58*100)-(Data!I56-$G58)*$K58))</f>
        <v>50</v>
      </c>
      <c r="Q58" s="64">
        <f>CHOOSE($E58,SUMPRODUCT((Q59:Q$65)*($M59:$M$65)*($C59:F$65=$B58)),IF(NOT(ISNUMBER(Data!J56)),0,ABS(($F58*100)-(Data!J56-$I58)*$K58)),ABS(($F58*100)-(Data!J56-$G58)*$K58))</f>
        <v>25</v>
      </c>
      <c r="R58" s="64">
        <f>CHOOSE($E58,SUMPRODUCT((R59:R$65)*($M59:$M$65)*($C59:G$65=$B58)),IF(NOT(ISNUMBER(Data!K56)),0,ABS(($F58*100)-(Data!K56-$I58)*$K58)),ABS(($F58*100)-(Data!K56-$G58)*$K58))</f>
        <v>25</v>
      </c>
      <c r="S58" s="64">
        <f>CHOOSE($E58,SUMPRODUCT((S59:S$65)*($M59:$M$65)*($C59:H$65=$B58)),IF(NOT(ISNUMBER(Data!L56)),0,ABS(($F58*100)-(Data!L56-$I58)*$K58)),ABS(($F58*100)-(Data!L56-$G58)*$K58))</f>
        <v>75</v>
      </c>
      <c r="T58" s="64">
        <f>CHOOSE($E58,SUMPRODUCT((T59:T$65)*($M59:$M$65)*($C59:I$65=$B58)),IF(NOT(ISNUMBER(Data!M56)),0,ABS(($F58*100)-(Data!M56-$I58)*$K58)),ABS(($F58*100)-(Data!M56-$G58)*$K58))</f>
        <v>75</v>
      </c>
      <c r="U58" s="64">
        <f>CHOOSE($E58,SUMPRODUCT((U59:U$65)*($M59:$M$65)*($C59:J$65=$B58)),IF(NOT(ISNUMBER(Data!N56)),0,ABS(($F58*100)-(Data!N56-$I58)*$K58)),ABS(($F58*100)-(Data!N56-$G58)*$K58))</f>
        <v>100</v>
      </c>
      <c r="V58" s="64">
        <f>CHOOSE($E58,SUMPRODUCT((V59:V$65)*($M59:$M$65)*($C59:K$65=$B58)),IF(NOT(ISNUMBER(Data!O56)),0,ABS(($F58*100)-(Data!O56-$I58)*$K58)),ABS(($F58*100)-(Data!O56-$G58)*$K58))</f>
        <v>75</v>
      </c>
      <c r="W58" s="64">
        <f>CHOOSE($E58,SUMPRODUCT((W59:W$65)*($M59:$M$65)*($C59:L$65=$B58)),IF(NOT(ISNUMBER(Data!P56)),0,ABS(($F58*100)-(Data!P56-$I58)*$K58)),ABS(($F58*100)-(Data!P56-$G58)*$K58))</f>
        <v>75</v>
      </c>
      <c r="X58" s="64">
        <f>CHOOSE($E58,SUMPRODUCT((X59:X$65)*($M59:$M$65)*($C59:M$65=$B58)),IF(NOT(ISNUMBER(Data!Q56)),0,ABS(($F58*100)-(Data!Q56-$I58)*$K58)),ABS(($F58*100)-(Data!Q56-$G58)*$K58))</f>
        <v>0</v>
      </c>
      <c r="Y58" s="64">
        <f>CHOOSE($E58,SUMPRODUCT((Y59:Y$65)*($M59:$M$65)*($C59:N$65=$B58)),IF(NOT(ISNUMBER(Data!R56)),0,ABS(($F58*100)-(Data!R56-$I58)*$K58)),ABS(($F58*100)-(Data!R56-$G58)*$K58))</f>
        <v>50</v>
      </c>
      <c r="Z58" s="64">
        <f>CHOOSE($E58,SUMPRODUCT((Z59:Z$65)*($M59:$M$65)*($C59:O$65=$B58)),IF(NOT(ISNUMBER(Data!S56)),0,ABS(($F58*100)-(Data!S56-$I58)*$K58)),ABS(($F58*100)-(Data!S56-$G58)*$K58))</f>
        <v>50</v>
      </c>
      <c r="AA58" s="64">
        <f>CHOOSE($E58,SUMPRODUCT((AA59:AA$65)*($M59:$M$65)*($C59:P$65=$B58)),IF(NOT(ISNUMBER(Data!T56)),0,ABS(($F58*100)-(Data!T56-$I58)*$K58)),ABS(($F58*100)-(Data!T56-$G58)*$K58))</f>
        <v>50</v>
      </c>
      <c r="AB58" s="64">
        <f>CHOOSE($E58,SUMPRODUCT((AB59:AB$65)*($M59:$M$65)*($C59:Q$65=$B58)),IF(NOT(ISNUMBER(Data!U56)),0,ABS(($F58*100)-(Data!U56-$I58)*$K58)),ABS(($F58*100)-(Data!U56-$G58)*$K58))</f>
        <v>75</v>
      </c>
      <c r="AC58" s="64">
        <f>CHOOSE($E58,SUMPRODUCT((AC59:AC$65)*($M59:$M$65)*($C59:R$65=$B58)),IF(NOT(ISNUMBER(Data!V56)),0,ABS(($F58*100)-(Data!V56-$I58)*$K58)),ABS(($F58*100)-(Data!V56-$G58)*$K58))</f>
        <v>75</v>
      </c>
      <c r="AD58" s="64">
        <f>CHOOSE($E58,SUMPRODUCT((AD59:AD$65)*($M59:$M$65)*($C59:S$65=$B58)),IF(NOT(ISNUMBER(Data!W56)),0,ABS(($F58*100)-(Data!W56-$I58)*$K58)),ABS(($F58*100)-(Data!W56-$G58)*$K58))</f>
        <v>75</v>
      </c>
      <c r="AE58" s="64">
        <f>CHOOSE($E58,SUMPRODUCT((AE59:AE$65)*($M59:$M$65)*($C59:T$65=$B58)),IF(NOT(ISNUMBER(Data!X56)),0,ABS(($F58*100)-(Data!X56-$I58)*$K58)),ABS(($F58*100)-(Data!X56-$G58)*$K58))</f>
        <v>75</v>
      </c>
      <c r="AF58" s="64">
        <f>CHOOSE($E58,SUMPRODUCT((AF59:AF$65)*($M59:$M$65)*($C59:U$65=$B58)),IF(NOT(ISNUMBER(Data!Y56)),0,ABS(($F58*100)-(Data!Y56-$I58)*$K58)),ABS(($F58*100)-(Data!Y56-$G58)*$K58))</f>
        <v>50</v>
      </c>
      <c r="AG58" s="64">
        <f>CHOOSE($E58,SUMPRODUCT((AG59:AG$65)*($M59:$M$65)*($C59:V$65=$B58)),IF(NOT(ISNUMBER(Data!Z56)),0,ABS(($F58*100)-(Data!Z56-$I58)*$K58)),ABS(($F58*100)-(Data!Z56-$G58)*$K58))</f>
        <v>50</v>
      </c>
      <c r="AH58" s="64">
        <f>CHOOSE($E58,SUMPRODUCT((AH59:AH$65)*($M59:$M$65)*($C59:W$65=$B58)),IF(NOT(ISNUMBER(Data!AA56)),0,ABS(($F58*100)-(Data!AA56-$I58)*$K58)),ABS(($F58*100)-(Data!AA56-$G58)*$K58))</f>
        <v>75</v>
      </c>
      <c r="AI58" s="64">
        <f>CHOOSE($E58,SUMPRODUCT((AI59:AI$65)*($M59:$M$65)*($C59:X$65=$B58)),IF(NOT(ISNUMBER(Data!AB56)),0,ABS(($F58*100)-(Data!AB56-$I58)*$K58)),ABS(($F58*100)-(Data!AB56-$G58)*$K58))</f>
        <v>50</v>
      </c>
      <c r="AJ58" s="64">
        <f>CHOOSE($E58,SUMPRODUCT((AJ59:AJ$65)*($M59:$M$65)*($C59:Y$65=$B58)),IF(NOT(ISNUMBER(Data!AC56)),0,ABS(($F58*100)-(Data!AC56-$I58)*$K58)),ABS(($F58*100)-(Data!AC56-$G58)*$K58))</f>
        <v>75</v>
      </c>
      <c r="AK58" s="64">
        <f>CHOOSE($E58,SUMPRODUCT((AK59:AK$65)*($M59:$M$65)*($C59:Z$65=$B58)),IF(NOT(ISNUMBER(Data!AD56)),0,ABS(($F58*100)-(Data!AD56-$I58)*$K58)),ABS(($F58*100)-(Data!AD56-$G58)*$K58))</f>
        <v>25</v>
      </c>
      <c r="AL58" s="64">
        <f>CHOOSE($E58,SUMPRODUCT((AL59:AL$65)*($M59:$M$65)*($C59:AA$65=$B58)),IF(NOT(ISNUMBER(Data!AE56)),0,ABS(($F58*100)-(Data!AE56-$I58)*$K58)),ABS(($F58*100)-(Data!AE56-$G58)*$K58))</f>
        <v>50</v>
      </c>
      <c r="AM58" s="64">
        <f>CHOOSE($E58,SUMPRODUCT((AM59:AM$65)*($M59:$M$65)*($C59:AB$65=$B58)),IF(NOT(ISNUMBER(Data!AF56)),0,ABS(($F58*100)-(Data!AF56-$I58)*$K58)),ABS(($F58*100)-(Data!AF56-$G58)*$K58))</f>
        <v>25</v>
      </c>
      <c r="AN58" s="64">
        <f>CHOOSE($E58,SUMPRODUCT((AN59:AN$65)*($M59:$M$65)*($C59:AC$65=$B58)),IF(NOT(ISNUMBER(Data!AG56)),0,ABS(($F58*100)-(Data!AG56-$I58)*$K58)),ABS(($F58*100)-(Data!AG56-$G58)*$K58))</f>
        <v>50</v>
      </c>
      <c r="AO58" s="64">
        <f>CHOOSE($E58,SUMPRODUCT((AO59:AO$65)*($M59:$M$65)*($C59:AD$65=$B58)),IF(NOT(ISNUMBER(Data!AH56)),0,ABS(($F58*100)-(Data!AH56-$I58)*$K58)),ABS(($F58*100)-(Data!AH56-$G58)*$K58))</f>
        <v>75</v>
      </c>
      <c r="AP58" s="64">
        <f>CHOOSE($E58,SUMPRODUCT((AP59:AP$65)*($M59:$M$65)*($C59:AE$65=$B58)),IF(NOT(ISNUMBER(Data!AI56)),0,ABS(($F58*100)-(Data!AI56-$I58)*$K58)),ABS(($F58*100)-(Data!AI56-$G58)*$K58))</f>
        <v>75</v>
      </c>
      <c r="AQ58" s="64">
        <f>CHOOSE($E58,SUMPRODUCT((AQ59:AQ$65)*($M59:$M$65)*($C59:AF$65=$B58)),IF(NOT(ISNUMBER(Data!AJ56)),0,ABS(($F58*100)-(Data!AJ56-$I58)*$K58)),ABS(($F58*100)-(Data!AJ56-$G58)*$K58))</f>
        <v>100</v>
      </c>
      <c r="AR58" s="64">
        <f>CHOOSE($E58,SUMPRODUCT((AR59:AR$65)*($M59:$M$65)*($C59:AG$65=$B58)),IF(NOT(ISNUMBER(Data!AK56)),0,ABS(($F58*100)-(Data!AK56-$I58)*$K58)),ABS(($F58*100)-(Data!AK56-$G58)*$K58))</f>
        <v>75</v>
      </c>
      <c r="AS58" s="64">
        <f>CHOOSE($E58,SUMPRODUCT((AS59:AS$65)*($M59:$M$65)*($C59:AH$65=$B58)),IF(NOT(ISNUMBER(Data!AL56)),0,ABS(($F58*100)-(Data!AL56-$I58)*$K58)),ABS(($F58*100)-(Data!AL56-$G58)*$K58))</f>
        <v>75</v>
      </c>
      <c r="AT58" s="64">
        <f>CHOOSE($E58,SUMPRODUCT((AT59:AT$65)*($M59:$M$65)*($C59:AI$65=$B58)),IF(NOT(ISNUMBER(Data!AM56)),0,ABS(($F58*100)-(Data!AM56-$I58)*$K58)),ABS(($F58*100)-(Data!AM56-$G58)*$K58))</f>
        <v>50</v>
      </c>
      <c r="AU58" s="64">
        <f>CHOOSE($E58,SUMPRODUCT((AU59:AU$65)*($M59:$M$65)*($C59:AJ$65=$B58)),IF(NOT(ISNUMBER(Data!AN56)),0,ABS(($F58*100)-(Data!AN56-$I58)*$K58)),ABS(($F58*100)-(Data!AN56-$G58)*$K58))</f>
        <v>25</v>
      </c>
      <c r="AV58" s="64">
        <f>CHOOSE($E58,SUMPRODUCT((AV59:AV$65)*($M59:$M$65)*($C59:AK$65=$B58)),IF(NOT(ISNUMBER(Data!AO56)),0,ABS(($F58*100)-(Data!AO56-$I58)*$K58)),ABS(($F58*100)-(Data!AO56-$G58)*$K58))</f>
        <v>75</v>
      </c>
      <c r="AW58" s="64">
        <f>CHOOSE($E58,SUMPRODUCT((AW59:AW$65)*($M59:$M$65)*($C59:AL$65=$B58)),IF(NOT(ISNUMBER(Data!AP56)),0,ABS(($F58*100)-(Data!AP56-$I58)*$K58)),ABS(($F58*100)-(Data!AP56-$G58)*$K58))</f>
        <v>75</v>
      </c>
      <c r="AX58" s="64">
        <f>CHOOSE($E58,SUMPRODUCT((AX59:AX$65)*($M59:$M$65)*($C59:AM$65=$B58)),IF(NOT(ISNUMBER(Data!AQ56)),0,ABS(($F58*100)-(Data!AQ56-$I58)*$K58)),ABS(($F58*100)-(Data!AQ56-$G58)*$K58))</f>
        <v>75</v>
      </c>
      <c r="AY58" s="64">
        <f>CHOOSE($E58,SUMPRODUCT((AY59:AY$65)*($M59:$M$65)*($C59:AN$65=$B58)),IF(NOT(ISNUMBER(Data!AR56)),0,ABS(($F58*100)-(Data!AR56-$I58)*$K58)),ABS(($F58*100)-(Data!AR56-$G58)*$K58))</f>
        <v>75</v>
      </c>
      <c r="AZ58" s="64">
        <f>CHOOSE($E58,SUMPRODUCT((AZ59:AZ$65)*($M59:$M$65)*($C59:AO$65=$B58)),IF(NOT(ISNUMBER(Data!AS56)),0,ABS(($F58*100)-(Data!AS56-$I58)*$K58)),ABS(($F58*100)-(Data!AS56-$G58)*$K58))</f>
        <v>75</v>
      </c>
      <c r="BA58" s="64">
        <f>CHOOSE($E58,SUMPRODUCT((BA59:BA$65)*($M59:$M$65)*($C59:AP$65=$B58)),IF(NOT(ISNUMBER(Data!AT56)),0,ABS(($F58*100)-(Data!AT56-$I58)*$K58)),ABS(($F58*100)-(Data!AT56-$G58)*$K58))</f>
        <v>75</v>
      </c>
      <c r="BB58" s="64">
        <f>CHOOSE($E58,SUMPRODUCT((BB59:BB$65)*($M59:$M$65)*($C59:AQ$65=$B58)),IF(NOT(ISNUMBER(Data!AU56)),0,ABS(($F58*100)-(Data!AU56-$I58)*$K58)),ABS(($F58*100)-(Data!AU56-$G58)*$K58))</f>
        <v>75</v>
      </c>
      <c r="BC58" s="64">
        <f>CHOOSE($E58,SUMPRODUCT((BC59:BC$65)*($M59:$M$65)*($C59:AR$65=$B58)),IF(NOT(ISNUMBER(Data!AV56)),0,ABS(($F58*100)-(Data!AV56-$I58)*$K58)),ABS(($F58*100)-(Data!AV56-$G58)*$K58))</f>
        <v>50</v>
      </c>
      <c r="BD58" s="64">
        <f>CHOOSE($E58,SUMPRODUCT((BD59:BD$65)*($M59:$M$65)*($C59:AS$65=$B58)),IF(NOT(ISNUMBER(Data!AW56)),0,ABS(($F58*100)-(Data!AW56-$I58)*$K58)),ABS(($F58*100)-(Data!AW56-$G58)*$K58))</f>
        <v>75</v>
      </c>
      <c r="BE58" s="64">
        <f>CHOOSE($E58,SUMPRODUCT((BE59:BE$65)*($M59:$M$65)*($C59:AT$65=$B58)),IF(NOT(ISNUMBER(Data!AX56)),0,ABS(($F58*100)-(Data!AX56-$I58)*$K58)),ABS(($F58*100)-(Data!AX56-$G58)*$K58))</f>
        <v>50</v>
      </c>
      <c r="BF58" s="64">
        <f>CHOOSE($E58,SUMPRODUCT((BF59:BF$65)*($M59:$M$65)*($C59:AU$65=$B58)),IF(NOT(ISNUMBER(Data!AY56)),0,ABS(($F58*100)-(Data!AY56-$I58)*$K58)),ABS(($F58*100)-(Data!AY56-$G58)*$K58))</f>
        <v>50</v>
      </c>
      <c r="BG58" s="64">
        <f>CHOOSE($E58,SUMPRODUCT((BG59:BG$65)*($M59:$M$65)*($C59:AV$65=$B58)),IF(NOT(ISNUMBER(Data!AZ56)),0,ABS(($F58*100)-(Data!AZ56-$I58)*$K58)),ABS(($F58*100)-(Data!AZ56-$G58)*$K58))</f>
        <v>75</v>
      </c>
      <c r="BH58" s="64">
        <f>CHOOSE($E58,SUMPRODUCT((BH59:BH$65)*($M59:$M$65)*($C59:AW$65=$B58)),IF(NOT(ISNUMBER(Data!BA56)),0,ABS(($F58*100)-(Data!BA56-$I58)*$K58)),ABS(($F58*100)-(Data!BA56-$G58)*$K58))</f>
        <v>75</v>
      </c>
      <c r="BI58" s="64">
        <f>CHOOSE($E58,SUMPRODUCT((BI59:BI$65)*($M59:$M$65)*($C59:AX$65=$B58)),IF(NOT(ISNUMBER(Data!BB56)),0,ABS(($F58*100)-(Data!BB56-$I58)*$K58)),ABS(($F58*100)-(Data!BB56-$G58)*$K58))</f>
        <v>75</v>
      </c>
      <c r="BJ58" s="64">
        <f>CHOOSE($E58,SUMPRODUCT((BJ59:BJ$65)*($M59:$M$65)*($C59:AY$65=$B58)),IF(NOT(ISNUMBER(Data!BC56)),0,ABS(($F58*100)-(Data!BC56-$I58)*$K58)),ABS(($F58*100)-(Data!BC56-$G58)*$K58))</f>
        <v>50</v>
      </c>
      <c r="BK58" s="64">
        <f>CHOOSE($E58,SUMPRODUCT((BK59:BK$65)*($M59:$M$65)*($C59:AZ$65=$B58)),IF(NOT(ISNUMBER(Data!BD56)),0,ABS(($F58*100)-(Data!BD56-$I58)*$K58)),ABS(($F58*100)-(Data!BD56-$G58)*$K58))</f>
        <v>50</v>
      </c>
      <c r="BM58" s="65"/>
    </row>
    <row r="59" s="21" customFormat="1" spans="1:65">
      <c r="A59" s="24"/>
      <c r="B59" s="24" t="str">
        <f>tblIndicators!B52</f>
        <v>PERSAF_OP_02</v>
      </c>
      <c r="C59" s="24" t="str">
        <f>tblIndicators!C52</f>
        <v>PERSAF_OP</v>
      </c>
      <c r="D59" s="52">
        <f>tblIndicators!D52</f>
        <v>3</v>
      </c>
      <c r="E59" s="52">
        <f>tblIndicators!M52</f>
        <v>2</v>
      </c>
      <c r="F59" s="52">
        <f>tblIndicators!N52</f>
        <v>1</v>
      </c>
      <c r="G59" s="52">
        <f>tblIndicators!Q52</f>
        <v>0</v>
      </c>
      <c r="H59" s="52">
        <f>tblIndicators!R52</f>
        <v>0</v>
      </c>
      <c r="I59" s="52">
        <f>IF($E59=2,MIN(Data!G57:BD57),"")</f>
        <v>1</v>
      </c>
      <c r="J59" s="52">
        <f>IF($E59=2,MAX(Data!G57:BD57),"")</f>
        <v>5</v>
      </c>
      <c r="K59" s="54">
        <f t="shared" si="3"/>
        <v>25</v>
      </c>
      <c r="L59" s="62" t="str">
        <f>tblIndicators!Z52</f>
        <v>4.2.2) Prevalence of violence crime</v>
      </c>
      <c r="M59" s="63">
        <f>tblIndicators!AC52</f>
        <v>0.125</v>
      </c>
      <c r="N59" s="64">
        <f>CHOOSE($E59,SUMPRODUCT((N60:N$65)*($M60:$M$65)*($C60:C$65=$B59)),IF(NOT(ISNUMBER(Data!G57)),0,ABS(($F59*100)-(Data!G57-$I59)*$K59)),ABS(($F59*100)-(Data!G57-$G59)*$K59))</f>
        <v>100</v>
      </c>
      <c r="O59" s="64">
        <f>CHOOSE($E59,SUMPRODUCT((O60:O$65)*($M60:$M$65)*($C60:D$65=$B59)),IF(NOT(ISNUMBER(Data!H57)),0,ABS(($F59*100)-(Data!H57-$I59)*$K59)),ABS(($F59*100)-(Data!H57-$G59)*$K59))</f>
        <v>0</v>
      </c>
      <c r="P59" s="64">
        <f>CHOOSE($E59,SUMPRODUCT((P60:P$65)*($M60:$M$65)*($C60:E$65=$B59)),IF(NOT(ISNUMBER(Data!I57)),0,ABS(($F59*100)-(Data!I57-$I59)*$K59)),ABS(($F59*100)-(Data!I57-$G59)*$K59))</f>
        <v>50</v>
      </c>
      <c r="Q59" s="64">
        <f>CHOOSE($E59,SUMPRODUCT((Q60:Q$65)*($M60:$M$65)*($C60:F$65=$B59)),IF(NOT(ISNUMBER(Data!J57)),0,ABS(($F59*100)-(Data!J57-$I59)*$K59)),ABS(($F59*100)-(Data!J57-$G59)*$K59))</f>
        <v>25</v>
      </c>
      <c r="R59" s="64">
        <f>CHOOSE($E59,SUMPRODUCT((R60:R$65)*($M60:$M$65)*($C60:G$65=$B59)),IF(NOT(ISNUMBER(Data!K57)),0,ABS(($F59*100)-(Data!K57-$I59)*$K59)),ABS(($F59*100)-(Data!K57-$G59)*$K59))</f>
        <v>25</v>
      </c>
      <c r="S59" s="64">
        <f>CHOOSE($E59,SUMPRODUCT((S60:S$65)*($M60:$M$65)*($C60:H$65=$B59)),IF(NOT(ISNUMBER(Data!L57)),0,ABS(($F59*100)-(Data!L57-$I59)*$K59)),ABS(($F59*100)-(Data!L57-$G59)*$K59))</f>
        <v>75</v>
      </c>
      <c r="T59" s="64">
        <f>CHOOSE($E59,SUMPRODUCT((T60:T$65)*($M60:$M$65)*($C60:I$65=$B59)),IF(NOT(ISNUMBER(Data!M57)),0,ABS(($F59*100)-(Data!M57-$I59)*$K59)),ABS(($F59*100)-(Data!M57-$G59)*$K59))</f>
        <v>75</v>
      </c>
      <c r="U59" s="64">
        <f>CHOOSE($E59,SUMPRODUCT((U60:U$65)*($M60:$M$65)*($C60:J$65=$B59)),IF(NOT(ISNUMBER(Data!N57)),0,ABS(($F59*100)-(Data!N57-$I59)*$K59)),ABS(($F59*100)-(Data!N57-$G59)*$K59))</f>
        <v>100</v>
      </c>
      <c r="V59" s="64">
        <f>CHOOSE($E59,SUMPRODUCT((V60:V$65)*($M60:$M$65)*($C60:K$65=$B59)),IF(NOT(ISNUMBER(Data!O57)),0,ABS(($F59*100)-(Data!O57-$I59)*$K59)),ABS(($F59*100)-(Data!O57-$G59)*$K59))</f>
        <v>100</v>
      </c>
      <c r="W59" s="64">
        <f>CHOOSE($E59,SUMPRODUCT((W60:W$65)*($M60:$M$65)*($C60:L$65=$B59)),IF(NOT(ISNUMBER(Data!P57)),0,ABS(($F59*100)-(Data!P57-$I59)*$K59)),ABS(($F59*100)-(Data!P57-$G59)*$K59))</f>
        <v>75</v>
      </c>
      <c r="X59" s="64">
        <f>CHOOSE($E59,SUMPRODUCT((X60:X$65)*($M60:$M$65)*($C60:M$65=$B59)),IF(NOT(ISNUMBER(Data!Q57)),0,ABS(($F59*100)-(Data!Q57-$I59)*$K59)),ABS(($F59*100)-(Data!Q57-$G59)*$K59))</f>
        <v>0</v>
      </c>
      <c r="Y59" s="64">
        <f>CHOOSE($E59,SUMPRODUCT((Y60:Y$65)*($M60:$M$65)*($C60:N$65=$B59)),IF(NOT(ISNUMBER(Data!R57)),0,ABS(($F59*100)-(Data!R57-$I59)*$K59)),ABS(($F59*100)-(Data!R57-$G59)*$K59))</f>
        <v>50</v>
      </c>
      <c r="Z59" s="64">
        <f>CHOOSE($E59,SUMPRODUCT((Z60:Z$65)*($M60:$M$65)*($C60:O$65=$B59)),IF(NOT(ISNUMBER(Data!S57)),0,ABS(($F59*100)-(Data!S57-$I59)*$K59)),ABS(($F59*100)-(Data!S57-$G59)*$K59))</f>
        <v>50</v>
      </c>
      <c r="AA59" s="64">
        <f>CHOOSE($E59,SUMPRODUCT((AA60:AA$65)*($M60:$M$65)*($C60:P$65=$B59)),IF(NOT(ISNUMBER(Data!T57)),0,ABS(($F59*100)-(Data!T57-$I59)*$K59)),ABS(($F59*100)-(Data!T57-$G59)*$K59))</f>
        <v>75</v>
      </c>
      <c r="AB59" s="64">
        <f>CHOOSE($E59,SUMPRODUCT((AB60:AB$65)*($M60:$M$65)*($C60:Q$65=$B59)),IF(NOT(ISNUMBER(Data!U57)),0,ABS(($F59*100)-(Data!U57-$I59)*$K59)),ABS(($F59*100)-(Data!U57-$G59)*$K59))</f>
        <v>75</v>
      </c>
      <c r="AC59" s="64">
        <f>CHOOSE($E59,SUMPRODUCT((AC60:AC$65)*($M60:$M$65)*($C60:R$65=$B59)),IF(NOT(ISNUMBER(Data!V57)),0,ABS(($F59*100)-(Data!V57-$I59)*$K59)),ABS(($F59*100)-(Data!V57-$G59)*$K59))</f>
        <v>75</v>
      </c>
      <c r="AD59" s="64">
        <f>CHOOSE($E59,SUMPRODUCT((AD60:AD$65)*($M60:$M$65)*($C60:S$65=$B59)),IF(NOT(ISNUMBER(Data!W57)),0,ABS(($F59*100)-(Data!W57-$I59)*$K59)),ABS(($F59*100)-(Data!W57-$G59)*$K59))</f>
        <v>100</v>
      </c>
      <c r="AE59" s="64">
        <f>CHOOSE($E59,SUMPRODUCT((AE60:AE$65)*($M60:$M$65)*($C60:T$65=$B59)),IF(NOT(ISNUMBER(Data!X57)),0,ABS(($F59*100)-(Data!X57-$I59)*$K59)),ABS(($F59*100)-(Data!X57-$G59)*$K59))</f>
        <v>100</v>
      </c>
      <c r="AF59" s="64">
        <f>CHOOSE($E59,SUMPRODUCT((AF60:AF$65)*($M60:$M$65)*($C60:U$65=$B59)),IF(NOT(ISNUMBER(Data!Y57)),0,ABS(($F59*100)-(Data!Y57-$I59)*$K59)),ABS(($F59*100)-(Data!Y57-$G59)*$K59))</f>
        <v>75</v>
      </c>
      <c r="AG59" s="64">
        <f>CHOOSE($E59,SUMPRODUCT((AG60:AG$65)*($M60:$M$65)*($C60:V$65=$B59)),IF(NOT(ISNUMBER(Data!Z57)),0,ABS(($F59*100)-(Data!Z57-$I59)*$K59)),ABS(($F59*100)-(Data!Z57-$G59)*$K59))</f>
        <v>75</v>
      </c>
      <c r="AH59" s="64">
        <f>CHOOSE($E59,SUMPRODUCT((AH60:AH$65)*($M60:$M$65)*($C60:W$65=$B59)),IF(NOT(ISNUMBER(Data!AA57)),0,ABS(($F59*100)-(Data!AA57-$I59)*$K59)),ABS(($F59*100)-(Data!AA57-$G59)*$K59))</f>
        <v>75</v>
      </c>
      <c r="AI59" s="64">
        <f>CHOOSE($E59,SUMPRODUCT((AI60:AI$65)*($M60:$M$65)*($C60:X$65=$B59)),IF(NOT(ISNUMBER(Data!AB57)),0,ABS(($F59*100)-(Data!AB57-$I59)*$K59)),ABS(($F59*100)-(Data!AB57-$G59)*$K59))</f>
        <v>75</v>
      </c>
      <c r="AJ59" s="64">
        <f>CHOOSE($E59,SUMPRODUCT((AJ60:AJ$65)*($M60:$M$65)*($C60:Y$65=$B59)),IF(NOT(ISNUMBER(Data!AC57)),0,ABS(($F59*100)-(Data!AC57-$I59)*$K59)),ABS(($F59*100)-(Data!AC57-$G59)*$K59))</f>
        <v>100</v>
      </c>
      <c r="AK59" s="64">
        <f>CHOOSE($E59,SUMPRODUCT((AK60:AK$65)*($M60:$M$65)*($C60:Z$65=$B59)),IF(NOT(ISNUMBER(Data!AD57)),0,ABS(($F59*100)-(Data!AD57-$I59)*$K59)),ABS(($F59*100)-(Data!AD57-$G59)*$K59))</f>
        <v>75</v>
      </c>
      <c r="AL59" s="64">
        <f>CHOOSE($E59,SUMPRODUCT((AL60:AL$65)*($M60:$M$65)*($C60:AA$65=$B59)),IF(NOT(ISNUMBER(Data!AE57)),0,ABS(($F59*100)-(Data!AE57-$I59)*$K59)),ABS(($F59*100)-(Data!AE57-$G59)*$K59))</f>
        <v>50</v>
      </c>
      <c r="AM59" s="64">
        <f>CHOOSE($E59,SUMPRODUCT((AM60:AM$65)*($M60:$M$65)*($C60:AB$65=$B59)),IF(NOT(ISNUMBER(Data!AF57)),0,ABS(($F59*100)-(Data!AF57-$I59)*$K59)),ABS(($F59*100)-(Data!AF57-$G59)*$K59))</f>
        <v>75</v>
      </c>
      <c r="AN59" s="64">
        <f>CHOOSE($E59,SUMPRODUCT((AN60:AN$65)*($M60:$M$65)*($C60:AC$65=$B59)),IF(NOT(ISNUMBER(Data!AG57)),0,ABS(($F59*100)-(Data!AG57-$I59)*$K59)),ABS(($F59*100)-(Data!AG57-$G59)*$K59))</f>
        <v>75</v>
      </c>
      <c r="AO59" s="64">
        <f>CHOOSE($E59,SUMPRODUCT((AO60:AO$65)*($M60:$M$65)*($C60:AD$65=$B59)),IF(NOT(ISNUMBER(Data!AH57)),0,ABS(($F59*100)-(Data!AH57-$I59)*$K59)),ABS(($F59*100)-(Data!AH57-$G59)*$K59))</f>
        <v>100</v>
      </c>
      <c r="AP59" s="64">
        <f>CHOOSE($E59,SUMPRODUCT((AP60:AP$65)*($M60:$M$65)*($C60:AE$65=$B59)),IF(NOT(ISNUMBER(Data!AI57)),0,ABS(($F59*100)-(Data!AI57-$I59)*$K59)),ABS(($F59*100)-(Data!AI57-$G59)*$K59))</f>
        <v>100</v>
      </c>
      <c r="AQ59" s="64">
        <f>CHOOSE($E59,SUMPRODUCT((AQ60:AQ$65)*($M60:$M$65)*($C60:AF$65=$B59)),IF(NOT(ISNUMBER(Data!AJ57)),0,ABS(($F59*100)-(Data!AJ57-$I59)*$K59)),ABS(($F59*100)-(Data!AJ57-$G59)*$K59))</f>
        <v>100</v>
      </c>
      <c r="AR59" s="64">
        <f>CHOOSE($E59,SUMPRODUCT((AR60:AR$65)*($M60:$M$65)*($C60:AG$65=$B59)),IF(NOT(ISNUMBER(Data!AK57)),0,ABS(($F59*100)-(Data!AK57-$I59)*$K59)),ABS(($F59*100)-(Data!AK57-$G59)*$K59))</f>
        <v>100</v>
      </c>
      <c r="AS59" s="64">
        <f>CHOOSE($E59,SUMPRODUCT((AS60:AS$65)*($M60:$M$65)*($C60:AH$65=$B59)),IF(NOT(ISNUMBER(Data!AL57)),0,ABS(($F59*100)-(Data!AL57-$I59)*$K59)),ABS(($F59*100)-(Data!AL57-$G59)*$K59))</f>
        <v>75</v>
      </c>
      <c r="AT59" s="64">
        <f>CHOOSE($E59,SUMPRODUCT((AT60:AT$65)*($M60:$M$65)*($C60:AI$65=$B59)),IF(NOT(ISNUMBER(Data!AM57)),0,ABS(($F59*100)-(Data!AM57-$I59)*$K59)),ABS(($F59*100)-(Data!AM57-$G59)*$K59))</f>
        <v>75</v>
      </c>
      <c r="AU59" s="64">
        <f>CHOOSE($E59,SUMPRODUCT((AU60:AU$65)*($M60:$M$65)*($C60:AJ$65=$B59)),IF(NOT(ISNUMBER(Data!AN57)),0,ABS(($F59*100)-(Data!AN57-$I59)*$K59)),ABS(($F59*100)-(Data!AN57-$G59)*$K59))</f>
        <v>50</v>
      </c>
      <c r="AV59" s="64">
        <f>CHOOSE($E59,SUMPRODUCT((AV60:AV$65)*($M60:$M$65)*($C60:AK$65=$B59)),IF(NOT(ISNUMBER(Data!AO57)),0,ABS(($F59*100)-(Data!AO57-$I59)*$K59)),ABS(($F59*100)-(Data!AO57-$G59)*$K59))</f>
        <v>100</v>
      </c>
      <c r="AW59" s="64">
        <f>CHOOSE($E59,SUMPRODUCT((AW60:AW$65)*($M60:$M$65)*($C60:AL$65=$B59)),IF(NOT(ISNUMBER(Data!AP57)),0,ABS(($F59*100)-(Data!AP57-$I59)*$K59)),ABS(($F59*100)-(Data!AP57-$G59)*$K59))</f>
        <v>100</v>
      </c>
      <c r="AX59" s="64">
        <f>CHOOSE($E59,SUMPRODUCT((AX60:AX$65)*($M60:$M$65)*($C60:AM$65=$B59)),IF(NOT(ISNUMBER(Data!AQ57)),0,ABS(($F59*100)-(Data!AQ57-$I59)*$K59)),ABS(($F59*100)-(Data!AQ57-$G59)*$K59))</f>
        <v>100</v>
      </c>
      <c r="AY59" s="64">
        <f>CHOOSE($E59,SUMPRODUCT((AY60:AY$65)*($M60:$M$65)*($C60:AN$65=$B59)),IF(NOT(ISNUMBER(Data!AR57)),0,ABS(($F59*100)-(Data!AR57-$I59)*$K59)),ABS(($F59*100)-(Data!AR57-$G59)*$K59))</f>
        <v>100</v>
      </c>
      <c r="AZ59" s="64">
        <f>CHOOSE($E59,SUMPRODUCT((AZ60:AZ$65)*($M60:$M$65)*($C60:AO$65=$B59)),IF(NOT(ISNUMBER(Data!AS57)),0,ABS(($F59*100)-(Data!AS57-$I59)*$K59)),ABS(($F59*100)-(Data!AS57-$G59)*$K59))</f>
        <v>75</v>
      </c>
      <c r="BA59" s="64">
        <f>CHOOSE($E59,SUMPRODUCT((BA60:BA$65)*($M60:$M$65)*($C60:AP$65=$B59)),IF(NOT(ISNUMBER(Data!AT57)),0,ABS(($F59*100)-(Data!AT57-$I59)*$K59)),ABS(($F59*100)-(Data!AT57-$G59)*$K59))</f>
        <v>75</v>
      </c>
      <c r="BB59" s="64">
        <f>CHOOSE($E59,SUMPRODUCT((BB60:BB$65)*($M60:$M$65)*($C60:AQ$65=$B59)),IF(NOT(ISNUMBER(Data!AU57)),0,ABS(($F59*100)-(Data!AU57-$I59)*$K59)),ABS(($F59*100)-(Data!AU57-$G59)*$K59))</f>
        <v>75</v>
      </c>
      <c r="BC59" s="64">
        <f>CHOOSE($E59,SUMPRODUCT((BC60:BC$65)*($M60:$M$65)*($C60:AR$65=$B59)),IF(NOT(ISNUMBER(Data!AV57)),0,ABS(($F59*100)-(Data!AV57-$I59)*$K59)),ABS(($F59*100)-(Data!AV57-$G59)*$K59))</f>
        <v>75</v>
      </c>
      <c r="BD59" s="64">
        <f>CHOOSE($E59,SUMPRODUCT((BD60:BD$65)*($M60:$M$65)*($C60:AS$65=$B59)),IF(NOT(ISNUMBER(Data!AW57)),0,ABS(($F59*100)-(Data!AW57-$I59)*$K59)),ABS(($F59*100)-(Data!AW57-$G59)*$K59))</f>
        <v>75</v>
      </c>
      <c r="BE59" s="64">
        <f>CHOOSE($E59,SUMPRODUCT((BE60:BE$65)*($M60:$M$65)*($C60:AT$65=$B59)),IF(NOT(ISNUMBER(Data!AX57)),0,ABS(($F59*100)-(Data!AX57-$I59)*$K59)),ABS(($F59*100)-(Data!AX57-$G59)*$K59))</f>
        <v>75</v>
      </c>
      <c r="BF59" s="64">
        <f>CHOOSE($E59,SUMPRODUCT((BF60:BF$65)*($M60:$M$65)*($C60:AU$65=$B59)),IF(NOT(ISNUMBER(Data!AY57)),0,ABS(($F59*100)-(Data!AY57-$I59)*$K59)),ABS(($F59*100)-(Data!AY57-$G59)*$K59))</f>
        <v>75</v>
      </c>
      <c r="BG59" s="64">
        <f>CHOOSE($E59,SUMPRODUCT((BG60:BG$65)*($M60:$M$65)*($C60:AV$65=$B59)),IF(NOT(ISNUMBER(Data!AZ57)),0,ABS(($F59*100)-(Data!AZ57-$I59)*$K59)),ABS(($F59*100)-(Data!AZ57-$G59)*$K59))</f>
        <v>75</v>
      </c>
      <c r="BH59" s="64">
        <f>CHOOSE($E59,SUMPRODUCT((BH60:BH$65)*($M60:$M$65)*($C60:AW$65=$B59)),IF(NOT(ISNUMBER(Data!BA57)),0,ABS(($F59*100)-(Data!BA57-$I59)*$K59)),ABS(($F59*100)-(Data!BA57-$G59)*$K59))</f>
        <v>75</v>
      </c>
      <c r="BI59" s="64">
        <f>CHOOSE($E59,SUMPRODUCT((BI60:BI$65)*($M60:$M$65)*($C60:AX$65=$B59)),IF(NOT(ISNUMBER(Data!BB57)),0,ABS(($F59*100)-(Data!BB57-$I59)*$K59)),ABS(($F59*100)-(Data!BB57-$G59)*$K59))</f>
        <v>100</v>
      </c>
      <c r="BJ59" s="64">
        <f>CHOOSE($E59,SUMPRODUCT((BJ60:BJ$65)*($M60:$M$65)*($C60:AY$65=$B59)),IF(NOT(ISNUMBER(Data!BC57)),0,ABS(($F59*100)-(Data!BC57-$I59)*$K59)),ABS(($F59*100)-(Data!BC57-$G59)*$K59))</f>
        <v>50</v>
      </c>
      <c r="BK59" s="64">
        <f>CHOOSE($E59,SUMPRODUCT((BK60:BK$65)*($M60:$M$65)*($C60:AZ$65=$B59)),IF(NOT(ISNUMBER(Data!BD57)),0,ABS(($F59*100)-(Data!BD57-$I59)*$K59)),ABS(($F59*100)-(Data!BD57-$G59)*$K59))</f>
        <v>75</v>
      </c>
      <c r="BM59" s="65"/>
    </row>
    <row r="60" s="22" customFormat="1" spans="1:65">
      <c r="A60" s="24"/>
      <c r="B60" s="24" t="str">
        <f>tblIndicators!B53</f>
        <v>PERSAF_OP_03</v>
      </c>
      <c r="C60" s="24" t="str">
        <f>tblIndicators!C53</f>
        <v>PERSAF_OP</v>
      </c>
      <c r="D60" s="52">
        <f>tblIndicators!D53</f>
        <v>3</v>
      </c>
      <c r="E60" s="52">
        <f>tblIndicators!M53</f>
        <v>2</v>
      </c>
      <c r="F60" s="52">
        <f>tblIndicators!N53</f>
        <v>1</v>
      </c>
      <c r="G60" s="52">
        <f>tblIndicators!Q53</f>
        <v>0</v>
      </c>
      <c r="H60" s="52">
        <f>tblIndicators!R53</f>
        <v>0</v>
      </c>
      <c r="I60" s="52">
        <f>IF($E60=2,MIN(Data!G58:BD58),"")</f>
        <v>0.25</v>
      </c>
      <c r="J60" s="52">
        <f>IF($E60=2,MAX(Data!G58:BD58),"")</f>
        <v>625.63</v>
      </c>
      <c r="K60" s="54">
        <f t="shared" si="3"/>
        <v>0.159902779110301</v>
      </c>
      <c r="L60" s="62" t="str">
        <f>tblIndicators!Z53</f>
        <v>4.2.3) Criminal gang activity</v>
      </c>
      <c r="M60" s="63">
        <f>tblIndicators!AC53</f>
        <v>0.125</v>
      </c>
      <c r="N60" s="64">
        <f>CHOOSE($E60,SUMPRODUCT((N61:N$65)*($M61:$M$65)*($C61:C$65=$B60)),IF(NOT(ISNUMBER(Data!G58)),0,ABS(($F60*100)-(Data!G58-$I60)*$K60)),ABS(($F60*100)-(Data!G58-$G60)*$K60))</f>
        <v>99.9446256675941</v>
      </c>
      <c r="O60" s="64">
        <f>CHOOSE($E60,SUMPRODUCT((O61:O$65)*($M61:$M$65)*($C61:D$65=$B60)),IF(NOT(ISNUMBER(Data!H58)),0,ABS(($F60*100)-(Data!H58-$I60)*$K60)),ABS(($F60*100)-(Data!H58-$G60)*$K60))</f>
        <v>99.4115577728741</v>
      </c>
      <c r="P60" s="64">
        <f>CHOOSE($E60,SUMPRODUCT((P61:P$65)*($M61:$M$65)*($C61:E$65=$B60)),IF(NOT(ISNUMBER(Data!I58)),0,ABS(($F60*100)-(Data!I58-$I60)*$K60)),ABS(($F60*100)-(Data!I58-$G60)*$K60))</f>
        <v>99.8640826377562</v>
      </c>
      <c r="Q60" s="64">
        <f>CHOOSE($E60,SUMPRODUCT((Q61:Q$65)*($M61:$M$65)*($C61:F$65=$B60)),IF(NOT(ISNUMBER(Data!J58)),0,ABS(($F60*100)-(Data!J58-$I60)*$K60)),ABS(($F60*100)-(Data!J58-$G60)*$K60))</f>
        <v>97.3216284499025</v>
      </c>
      <c r="R60" s="64">
        <f>CHOOSE($E60,SUMPRODUCT((R61:R$65)*($M61:$M$65)*($C61:G$65=$B60)),IF(NOT(ISNUMBER(Data!K58)),0,ABS(($F60*100)-(Data!K58-$I60)*$K60)),ABS(($F60*100)-(Data!K58-$G60)*$K60))</f>
        <v>97.3216284499025</v>
      </c>
      <c r="S60" s="64">
        <f>CHOOSE($E60,SUMPRODUCT((S61:S$65)*($M61:$M$65)*($C61:H$65=$B60)),IF(NOT(ISNUMBER(Data!L58)),0,ABS(($F60*100)-(Data!L58-$I60)*$K60)),ABS(($F60*100)-(Data!L58-$G60)*$K60))</f>
        <v>0</v>
      </c>
      <c r="T60" s="64">
        <f>CHOOSE($E60,SUMPRODUCT((T61:T$65)*($M61:$M$65)*($C61:I$65=$B60)),IF(NOT(ISNUMBER(Data!M58)),0,ABS(($F60*100)-(Data!M58-$I60)*$K60)),ABS(($F60*100)-(Data!M58-$G60)*$K60))</f>
        <v>0</v>
      </c>
      <c r="U60" s="64">
        <f>CHOOSE($E60,SUMPRODUCT((U61:U$65)*($M61:$M$65)*($C61:J$65=$B60)),IF(NOT(ISNUMBER(Data!N58)),0,ABS(($F60*100)-(Data!N58-$I60)*$K60)),ABS(($F60*100)-(Data!N58-$G60)*$K60))</f>
        <v>87.5947423966228</v>
      </c>
      <c r="V60" s="64">
        <f>CHOOSE($E60,SUMPRODUCT((V61:V$65)*($M61:$M$65)*($C61:K$65=$B60)),IF(NOT(ISNUMBER(Data!O58)),0,ABS(($F60*100)-(Data!O58-$I60)*$K60)),ABS(($F60*100)-(Data!O58-$G60)*$K60))</f>
        <v>87.5947423966228</v>
      </c>
      <c r="W60" s="64">
        <f>CHOOSE($E60,SUMPRODUCT((W61:W$65)*($M61:$M$65)*($C61:L$65=$B60)),IF(NOT(ISNUMBER(Data!P58)),0,ABS(($F60*100)-(Data!P58-$I60)*$K60)),ABS(($F60*100)-(Data!P58-$G60)*$K60))</f>
        <v>0</v>
      </c>
      <c r="X60" s="64">
        <f>CHOOSE($E60,SUMPRODUCT((X61:X$65)*($M61:$M$65)*($C61:M$65=$B60)),IF(NOT(ISNUMBER(Data!Q58)),0,ABS(($F60*100)-(Data!Q58-$I60)*$K60)),ABS(($F60*100)-(Data!Q58-$G60)*$K60))</f>
        <v>79.8794333045508</v>
      </c>
      <c r="Y60" s="64">
        <f>CHOOSE($E60,SUMPRODUCT((Y61:Y$65)*($M61:$M$65)*($C61:N$65=$B60)),IF(NOT(ISNUMBER(Data!R58)),0,ABS(($F60*100)-(Data!R58-$I60)*$K60)),ABS(($F60*100)-(Data!R58-$G60)*$K60))</f>
        <v>98.9686270747386</v>
      </c>
      <c r="Z60" s="64">
        <f>CHOOSE($E60,SUMPRODUCT((Z61:Z$65)*($M61:$M$65)*($C61:O$65=$B60)),IF(NOT(ISNUMBER(Data!S58)),0,ABS(($F60*100)-(Data!S58-$I60)*$K60)),ABS(($F60*100)-(Data!S58-$G60)*$K60))</f>
        <v>99.9760145831334</v>
      </c>
      <c r="AA60" s="64">
        <f>CHOOSE($E60,SUMPRODUCT((AA61:AA$65)*($M61:$M$65)*($C61:P$65=$B60)),IF(NOT(ISNUMBER(Data!T58)),0,ABS(($F60*100)-(Data!T58-$I60)*$K60)),ABS(($F60*100)-(Data!T58-$G60)*$K60))</f>
        <v>0</v>
      </c>
      <c r="AB60" s="64">
        <f>CHOOSE($E60,SUMPRODUCT((AB61:AB$65)*($M61:$M$65)*($C61:Q$65=$B60)),IF(NOT(ISNUMBER(Data!U58)),0,ABS(($F60*100)-(Data!U58-$I60)*$K60)),ABS(($F60*100)-(Data!U58-$G60)*$K60))</f>
        <v>0</v>
      </c>
      <c r="AC60" s="64">
        <f>CHOOSE($E60,SUMPRODUCT((AC61:AC$65)*($M61:$M$65)*($C61:R$65=$B60)),IF(NOT(ISNUMBER(Data!V58)),0,ABS(($F60*100)-(Data!V58-$I60)*$K60)),ABS(($F60*100)-(Data!V58-$G60)*$K60))</f>
        <v>97.702197064185</v>
      </c>
      <c r="AD60" s="64">
        <f>CHOOSE($E60,SUMPRODUCT((AD61:AD$65)*($M61:$M$65)*($C61:S$65=$B60)),IF(NOT(ISNUMBER(Data!W58)),0,ABS(($F60*100)-(Data!W58-$I60)*$K60)),ABS(($F60*100)-(Data!W58-$G60)*$K60))</f>
        <v>97.702197064185</v>
      </c>
      <c r="AE60" s="64">
        <f>CHOOSE($E60,SUMPRODUCT((AE61:AE$65)*($M61:$M$65)*($C61:T$65=$B60)),IF(NOT(ISNUMBER(Data!X58)),0,ABS(($F60*100)-(Data!X58-$I60)*$K60)),ABS(($F60*100)-(Data!X58-$G60)*$K60))</f>
        <v>58.305350346989</v>
      </c>
      <c r="AF60" s="64">
        <f>CHOOSE($E60,SUMPRODUCT((AF61:AF$65)*($M61:$M$65)*($C61:U$65=$B60)),IF(NOT(ISNUMBER(Data!Y58)),0,ABS(($F60*100)-(Data!Y58-$I60)*$K60)),ABS(($F60*100)-(Data!Y58-$G60)*$K60))</f>
        <v>58.305350346989</v>
      </c>
      <c r="AG60" s="64">
        <f>CHOOSE($E60,SUMPRODUCT((AG61:AG$65)*($M61:$M$65)*($C61:V$65=$B60)),IF(NOT(ISNUMBER(Data!Z58)),0,ABS(($F60*100)-(Data!Z58-$I60)*$K60)),ABS(($F60*100)-(Data!Z58-$G60)*$K60))</f>
        <v>58.305350346989</v>
      </c>
      <c r="AH60" s="64">
        <f>CHOOSE($E60,SUMPRODUCT((AH61:AH$65)*($M61:$M$65)*($C61:W$65=$B60)),IF(NOT(ISNUMBER(Data!AA58)),0,ABS(($F60*100)-(Data!AA58-$I60)*$K60)),ABS(($F60*100)-(Data!AA58-$G60)*$K60))</f>
        <v>58.305350346989</v>
      </c>
      <c r="AI60" s="64">
        <f>CHOOSE($E60,SUMPRODUCT((AI61:AI$65)*($M61:$M$65)*($C61:X$65=$B60)),IF(NOT(ISNUMBER(Data!AB58)),0,ABS(($F60*100)-(Data!AB58-$I60)*$K60)),ABS(($F60*100)-(Data!AB58-$G60)*$K60))</f>
        <v>58.305350346989</v>
      </c>
      <c r="AJ60" s="64">
        <f>CHOOSE($E60,SUMPRODUCT((AJ61:AJ$65)*($M61:$M$65)*($C61:Y$65=$B60)),IF(NOT(ISNUMBER(Data!AC58)),0,ABS(($F60*100)-(Data!AC58-$I60)*$K60)),ABS(($F60*100)-(Data!AC58-$G60)*$K60))</f>
        <v>58.305350346989</v>
      </c>
      <c r="AK60" s="64">
        <f>CHOOSE($E60,SUMPRODUCT((AK61:AK$65)*($M61:$M$65)*($C61:Z$65=$B60)),IF(NOT(ISNUMBER(Data!AD58)),0,ABS(($F60*100)-(Data!AD58-$I60)*$K60)),ABS(($F60*100)-(Data!AD58-$G60)*$K60))</f>
        <v>89.072244075602</v>
      </c>
      <c r="AL60" s="64">
        <f>CHOOSE($E60,SUMPRODUCT((AL61:AL$65)*($M61:$M$65)*($C61:AA$65=$B60)),IF(NOT(ISNUMBER(Data!AE58)),0,ABS(($F60*100)-(Data!AE58-$I60)*$K60)),ABS(($F60*100)-(Data!AE58-$G60)*$K60))</f>
        <v>89.072244075602</v>
      </c>
      <c r="AM60" s="64">
        <f>CHOOSE($E60,SUMPRODUCT((AM61:AM$65)*($M61:$M$65)*($C61:AB$65=$B60)),IF(NOT(ISNUMBER(Data!AF58)),0,ABS(($F60*100)-(Data!AF58-$I60)*$K60)),ABS(($F60*100)-(Data!AF58-$G60)*$K60))</f>
        <v>96.3542166362851</v>
      </c>
      <c r="AN60" s="64">
        <f>CHOOSE($E60,SUMPRODUCT((AN61:AN$65)*($M61:$M$65)*($C61:AC$65=$B60)),IF(NOT(ISNUMBER(Data!AG58)),0,ABS(($F60*100)-(Data!AG58-$I60)*$K60)),ABS(($F60*100)-(Data!AG58-$G60)*$K60))</f>
        <v>98.338610125044</v>
      </c>
      <c r="AO60" s="64">
        <f>CHOOSE($E60,SUMPRODUCT((AO61:AO$65)*($M61:$M$65)*($C61:AD$65=$B60)),IF(NOT(ISNUMBER(Data!AH58)),0,ABS(($F60*100)-(Data!AH58-$I60)*$K60)),ABS(($F60*100)-(Data!AH58-$G60)*$K60))</f>
        <v>82.722504717132</v>
      </c>
      <c r="AP60" s="64">
        <f>CHOOSE($E60,SUMPRODUCT((AP61:AP$65)*($M61:$M$65)*($C61:AE$65=$B60)),IF(NOT(ISNUMBER(Data!AI58)),0,ABS(($F60*100)-(Data!AI58-$I60)*$K60)),ABS(($F60*100)-(Data!AI58-$G60)*$K60))</f>
        <v>82.722504717132</v>
      </c>
      <c r="AQ60" s="64">
        <f>CHOOSE($E60,SUMPRODUCT((AQ61:AQ$65)*($M61:$M$65)*($C61:AF$65=$B60)),IF(NOT(ISNUMBER(Data!AJ58)),0,ABS(($F60*100)-(Data!AJ58-$I60)*$K60)),ABS(($F60*100)-(Data!AJ58-$G60)*$K60))</f>
        <v>99.9968019444178</v>
      </c>
      <c r="AR60" s="64">
        <f>CHOOSE($E60,SUMPRODUCT((AR61:AR$65)*($M61:$M$65)*($C61:AG$65=$B60)),IF(NOT(ISNUMBER(Data!AK58)),0,ABS(($F60*100)-(Data!AK58-$I60)*$K60)),ABS(($F60*100)-(Data!AK58-$G60)*$K60))</f>
        <v>95.8505228820877</v>
      </c>
      <c r="AS60" s="64">
        <f>CHOOSE($E60,SUMPRODUCT((AS61:AS$65)*($M61:$M$65)*($C61:AH$65=$B60)),IF(NOT(ISNUMBER(Data!AL58)),0,ABS(($F60*100)-(Data!AL58-$I60)*$K60)),ABS(($F60*100)-(Data!AL58-$G60)*$K60))</f>
        <v>99.6226294412997</v>
      </c>
      <c r="AT60" s="64">
        <f>CHOOSE($E60,SUMPRODUCT((AT61:AT$65)*($M61:$M$65)*($C61:AI$65=$B60)),IF(NOT(ISNUMBER(Data!AM58)),0,ABS(($F60*100)-(Data!AM58-$I60)*$K60)),ABS(($F60*100)-(Data!AM58-$G60)*$K60))</f>
        <v>97.8093319261889</v>
      </c>
      <c r="AU60" s="64">
        <f>CHOOSE($E60,SUMPRODUCT((AU61:AU$65)*($M61:$M$65)*($C61:AJ$65=$B60)),IF(NOT(ISNUMBER(Data!AN58)),0,ABS(($F60*100)-(Data!AN58-$I60)*$K60)),ABS(($F60*100)-(Data!AN58-$G60)*$K60))</f>
        <v>99.9088554159071</v>
      </c>
      <c r="AV60" s="64">
        <f>CHOOSE($E60,SUMPRODUCT((AV61:AV$65)*($M61:$M$65)*($C61:AK$65=$B60)),IF(NOT(ISNUMBER(Data!AO58)),0,ABS(($F60*100)-(Data!AO58-$I60)*$K60)),ABS(($F60*100)-(Data!AO58-$G60)*$K60))</f>
        <v>99.814512776232</v>
      </c>
      <c r="AW60" s="64">
        <f>CHOOSE($E60,SUMPRODUCT((AW61:AW$65)*($M61:$M$65)*($C61:AL$65=$B60)),IF(NOT(ISNUMBER(Data!AP58)),0,ABS(($F60*100)-(Data!AP58-$I60)*$K60)),ABS(($F60*100)-(Data!AP58-$G60)*$K60))</f>
        <v>0</v>
      </c>
      <c r="AX60" s="64">
        <f>CHOOSE($E60,SUMPRODUCT((AX61:AX$65)*($M61:$M$65)*($C61:AM$65=$B60)),IF(NOT(ISNUMBER(Data!AQ58)),0,ABS(($F60*100)-(Data!AQ58-$I60)*$K60)),ABS(($F60*100)-(Data!AQ58-$G60)*$K60))</f>
        <v>98.4249576257635</v>
      </c>
      <c r="AY60" s="64">
        <f>CHOOSE($E60,SUMPRODUCT((AY61:AY$65)*($M61:$M$65)*($C61:AN$65=$B60)),IF(NOT(ISNUMBER(Data!AR58)),0,ABS(($F60*100)-(Data!AR58-$I60)*$K60)),ABS(($F60*100)-(Data!AR58-$G60)*$K60))</f>
        <v>99.8640826377562</v>
      </c>
      <c r="AZ60" s="64">
        <f>CHOOSE($E60,SUMPRODUCT((AZ61:AZ$65)*($M61:$M$65)*($C61:AO$65=$B60)),IF(NOT(ISNUMBER(Data!AS58)),0,ABS(($F60*100)-(Data!AS58-$I60)*$K60)),ABS(($F60*100)-(Data!AS58-$G60)*$K60))</f>
        <v>100</v>
      </c>
      <c r="BA60" s="64">
        <f>CHOOSE($E60,SUMPRODUCT((BA61:BA$65)*($M61:$M$65)*($C61:AP$65=$B60)),IF(NOT(ISNUMBER(Data!AT58)),0,ABS(($F60*100)-(Data!AT58-$I60)*$K60)),ABS(($F60*100)-(Data!AT58-$G60)*$K60))</f>
        <v>98.4649333205411</v>
      </c>
      <c r="BB60" s="64">
        <f>CHOOSE($E60,SUMPRODUCT((BB61:BB$65)*($M61:$M$65)*($C61:AQ$65=$B60)),IF(NOT(ISNUMBER(Data!AU58)),0,ABS(($F60*100)-(Data!AU58-$I60)*$K60)),ABS(($F60*100)-(Data!AU58-$G60)*$K60))</f>
        <v>93.6966324474719</v>
      </c>
      <c r="BC60" s="64">
        <f>CHOOSE($E60,SUMPRODUCT((BC61:BC$65)*($M61:$M$65)*($C61:AR$65=$B60)),IF(NOT(ISNUMBER(Data!AV58)),0,ABS(($F60*100)-(Data!AV58-$I60)*$K60)),ABS(($F60*100)-(Data!AV58-$G60)*$K60))</f>
        <v>82.2827720745787</v>
      </c>
      <c r="BD60" s="64">
        <f>CHOOSE($E60,SUMPRODUCT((BD61:BD$65)*($M61:$M$65)*($C61:AS$65=$B60)),IF(NOT(ISNUMBER(Data!AW58)),0,ABS(($F60*100)-(Data!AW58-$I60)*$K60)),ABS(($F60*100)-(Data!AW58-$G60)*$K60))</f>
        <v>82.2827720745787</v>
      </c>
      <c r="BE60" s="64">
        <f>CHOOSE($E60,SUMPRODUCT((BE61:BE$65)*($M61:$M$65)*($C61:AT$65=$B60)),IF(NOT(ISNUMBER(Data!AX58)),0,ABS(($F60*100)-(Data!AX58-$I60)*$K60)),ABS(($F60*100)-(Data!AX58-$G60)*$K60))</f>
        <v>99.9280437494004</v>
      </c>
      <c r="BF60" s="64">
        <f>CHOOSE($E60,SUMPRODUCT((BF61:BF$65)*($M61:$M$65)*($C61:AU$65=$B60)),IF(NOT(ISNUMBER(Data!AY58)),0,ABS(($F60*100)-(Data!AY58-$I60)*$K60)),ABS(($F60*100)-(Data!AY58-$G60)*$K60))</f>
        <v>92.1983434072084</v>
      </c>
      <c r="BG60" s="64">
        <f>CHOOSE($E60,SUMPRODUCT((BG61:BG$65)*($M61:$M$65)*($C61:AV$65=$B60)),IF(NOT(ISNUMBER(Data!AZ58)),0,ABS(($F60*100)-(Data!AZ58-$I60)*$K60)),ABS(($F60*100)-(Data!AZ58-$G60)*$K60))</f>
        <v>80.2024369183536</v>
      </c>
      <c r="BH60" s="64">
        <f>CHOOSE($E60,SUMPRODUCT((BH61:BH$65)*($M61:$M$65)*($C61:AW$65=$B60)),IF(NOT(ISNUMBER(Data!BA58)),0,ABS(($F60*100)-(Data!BA58-$I60)*$K60)),ABS(($F60*100)-(Data!BA58-$G60)*$K60))</f>
        <v>80.2024369183536</v>
      </c>
      <c r="BI60" s="64">
        <f>CHOOSE($E60,SUMPRODUCT((BI61:BI$65)*($M61:$M$65)*($C61:AX$65=$B60)),IF(NOT(ISNUMBER(Data!BB58)),0,ABS(($F60*100)-(Data!BB58-$I60)*$K60)),ABS(($F60*100)-(Data!BB58-$G60)*$K60))</f>
        <v>99.3204131887812</v>
      </c>
      <c r="BJ60" s="64">
        <f>CHOOSE($E60,SUMPRODUCT((BJ61:BJ$65)*($M61:$M$65)*($C61:AY$65=$B60)),IF(NOT(ISNUMBER(Data!BC58)),0,ABS(($F60*100)-(Data!BC58-$I60)*$K60)),ABS(($F60*100)-(Data!BC58-$G60)*$K60))</f>
        <v>97.2960440052448</v>
      </c>
      <c r="BK60" s="64">
        <f>CHOOSE($E60,SUMPRODUCT((BK61:BK$65)*($M61:$M$65)*($C61:AZ$65=$B60)),IF(NOT(ISNUMBER(Data!BD58)),0,ABS(($F60*100)-(Data!BD58-$I60)*$K60)),ABS(($F60*100)-(Data!BD58-$G60)*$K60))</f>
        <v>90.1323995011033</v>
      </c>
      <c r="BM60" s="65"/>
    </row>
    <row r="61" s="22" customFormat="1" spans="1:65">
      <c r="A61" s="24"/>
      <c r="B61" s="24" t="str">
        <f>tblIndicators!B54</f>
        <v>PERSAF_OP_04</v>
      </c>
      <c r="C61" s="24" t="str">
        <f>tblIndicators!C54</f>
        <v>PERSAF_OP</v>
      </c>
      <c r="D61" s="52">
        <f>tblIndicators!D54</f>
        <v>3</v>
      </c>
      <c r="E61" s="52">
        <f>tblIndicators!M54</f>
        <v>3</v>
      </c>
      <c r="F61" s="52">
        <f>tblIndicators!N54</f>
        <v>1</v>
      </c>
      <c r="G61" s="52">
        <f>tblIndicators!Q54</f>
        <v>0</v>
      </c>
      <c r="H61" s="52">
        <f>tblIndicators!R54</f>
        <v>100</v>
      </c>
      <c r="I61" s="52" t="str">
        <f>IF($E61=2,MIN(Data!G59:BD59),"")</f>
        <v/>
      </c>
      <c r="J61" s="52" t="str">
        <f>IF($E61=2,MAX(Data!G59:BD59),"")</f>
        <v/>
      </c>
      <c r="K61" s="54">
        <f t="shared" si="3"/>
        <v>1</v>
      </c>
      <c r="L61" s="62" t="str">
        <f>tblIndicators!Z54</f>
        <v>4.2.4) Level of corruption in police force</v>
      </c>
      <c r="M61" s="63">
        <f>tblIndicators!AC54</f>
        <v>0.125</v>
      </c>
      <c r="N61" s="64">
        <f>CHOOSE($E61,SUMPRODUCT((N62:N$65)*($M62:$M$65)*($C62:C$65=$B61)),IF(NOT(ISNUMBER(Data!G59)),0,ABS(($F61*100)-(Data!G59-$I61)*$K61)),ABS(($F61*100)-(Data!G59-$G61)*$K61))</f>
        <v>90</v>
      </c>
      <c r="O61" s="64">
        <f>CHOOSE($E61,SUMPRODUCT((O62:O$65)*($M62:$M$65)*($C62:D$65=$B61)),IF(NOT(ISNUMBER(Data!H59)),0,ABS(($F61*100)-(Data!H59-$I61)*$K61)),ABS(($F61*100)-(Data!H59-$G61)*$K61))</f>
        <v>55</v>
      </c>
      <c r="P61" s="64">
        <f>CHOOSE($E61,SUMPRODUCT((P62:P$65)*($M62:$M$65)*($C62:E$65=$B61)),IF(NOT(ISNUMBER(Data!I59)),0,ABS(($F61*100)-(Data!I59-$I61)*$K61)),ABS(($F61*100)-(Data!I59-$G61)*$K61))</f>
        <v>71</v>
      </c>
      <c r="Q61" s="64">
        <f>CHOOSE($E61,SUMPRODUCT((Q62:Q$65)*($M62:$M$65)*($C62:F$65=$B61)),IF(NOT(ISNUMBER(Data!J59)),0,ABS(($F61*100)-(Data!J59-$I61)*$K61)),ABS(($F61*100)-(Data!J59-$G61)*$K61))</f>
        <v>63</v>
      </c>
      <c r="R61" s="64">
        <f>CHOOSE($E61,SUMPRODUCT((R62:R$65)*($M62:$M$65)*($C62:G$65=$B61)),IF(NOT(ISNUMBER(Data!K59)),0,ABS(($F61*100)-(Data!K59-$I61)*$K61)),ABS(($F61*100)-(Data!K59-$G61)*$K61))</f>
        <v>63</v>
      </c>
      <c r="S61" s="64">
        <f>CHOOSE($E61,SUMPRODUCT((S62:S$65)*($M62:$M$65)*($C62:H$65=$B61)),IF(NOT(ISNUMBER(Data!L59)),0,ABS(($F61*100)-(Data!L59-$I61)*$K61)),ABS(($F61*100)-(Data!L59-$G61)*$K61))</f>
        <v>29</v>
      </c>
      <c r="T61" s="64">
        <f>CHOOSE($E61,SUMPRODUCT((T62:T$65)*($M62:$M$65)*($C62:I$65=$B61)),IF(NOT(ISNUMBER(Data!M59)),0,ABS(($F61*100)-(Data!M59-$I61)*$K61)),ABS(($F61*100)-(Data!M59-$G61)*$K61))</f>
        <v>29</v>
      </c>
      <c r="U61" s="64">
        <f>CHOOSE($E61,SUMPRODUCT((U62:U$65)*($M62:$M$65)*($C62:J$65=$B61)),IF(NOT(ISNUMBER(Data!N59)),0,ABS(($F61*100)-(Data!N59-$I61)*$K61)),ABS(($F61*100)-(Data!N59-$G61)*$K61))</f>
        <v>11</v>
      </c>
      <c r="V61" s="64">
        <f>CHOOSE($E61,SUMPRODUCT((V62:V$65)*($M62:$M$65)*($C62:K$65=$B61)),IF(NOT(ISNUMBER(Data!O59)),0,ABS(($F61*100)-(Data!O59-$I61)*$K61)),ABS(($F61*100)-(Data!O59-$G61)*$K61))</f>
        <v>11</v>
      </c>
      <c r="W61" s="64">
        <f>CHOOSE($E61,SUMPRODUCT((W62:W$65)*($M62:$M$65)*($C62:L$65=$B61)),IF(NOT(ISNUMBER(Data!P59)),0,ABS(($F61*100)-(Data!P59-$I61)*$K61)),ABS(($F61*100)-(Data!P59-$G61)*$K61))</f>
        <v>29</v>
      </c>
      <c r="X61" s="64">
        <f>CHOOSE($E61,SUMPRODUCT((X62:X$65)*($M62:$M$65)*($C62:M$65=$B61)),IF(NOT(ISNUMBER(Data!Q59)),0,ABS(($F61*100)-(Data!Q59-$I61)*$K61)),ABS(($F61*100)-(Data!Q59-$G61)*$K61))</f>
        <v>69</v>
      </c>
      <c r="Y61" s="64">
        <f>CHOOSE($E61,SUMPRODUCT((Y62:Y$65)*($M62:$M$65)*($C62:N$65=$B61)),IF(NOT(ISNUMBER(Data!R59)),0,ABS(($F61*100)-(Data!R59-$I61)*$K61)),ABS(($F61*100)-(Data!R59-$G61)*$K61))</f>
        <v>65</v>
      </c>
      <c r="Z61" s="64">
        <f>CHOOSE($E61,SUMPRODUCT((Z62:Z$65)*($M62:$M$65)*($C62:O$65=$B61)),IF(NOT(ISNUMBER(Data!S59)),0,ABS(($F61*100)-(Data!S59-$I61)*$K61)),ABS(($F61*100)-(Data!S59-$G61)*$K61))</f>
        <v>28</v>
      </c>
      <c r="AA61" s="64">
        <f>CHOOSE($E61,SUMPRODUCT((AA62:AA$65)*($M62:$M$65)*($C62:P$65=$B61)),IF(NOT(ISNUMBER(Data!T59)),0,ABS(($F61*100)-(Data!T59-$I61)*$K61)),ABS(($F61*100)-(Data!T59-$G61)*$K61))</f>
        <v>29</v>
      </c>
      <c r="AB61" s="64">
        <f>CHOOSE($E61,SUMPRODUCT((AB62:AB$65)*($M62:$M$65)*($C62:Q$65=$B61)),IF(NOT(ISNUMBER(Data!U59)),0,ABS(($F61*100)-(Data!U59-$I61)*$K61)),ABS(($F61*100)-(Data!U59-$G61)*$K61))</f>
        <v>29</v>
      </c>
      <c r="AC61" s="64">
        <f>CHOOSE($E61,SUMPRODUCT((AC62:AC$65)*($M62:$M$65)*($C62:R$65=$B61)),IF(NOT(ISNUMBER(Data!V59)),0,ABS(($F61*100)-(Data!V59-$I61)*$K61)),ABS(($F61*100)-(Data!V59-$G61)*$K61))</f>
        <v>13</v>
      </c>
      <c r="AD61" s="64">
        <f>CHOOSE($E61,SUMPRODUCT((AD62:AD$65)*($M62:$M$65)*($C62:S$65=$B61)),IF(NOT(ISNUMBER(Data!W59)),0,ABS(($F61*100)-(Data!W59-$I61)*$K61)),ABS(($F61*100)-(Data!W59-$G61)*$K61))</f>
        <v>13</v>
      </c>
      <c r="AE61" s="64">
        <f>CHOOSE($E61,SUMPRODUCT((AE62:AE$65)*($M62:$M$65)*($C62:T$65=$B61)),IF(NOT(ISNUMBER(Data!X59)),0,ABS(($F61*100)-(Data!X59-$I61)*$K61)),ABS(($F61*100)-(Data!X59-$G61)*$K61))</f>
        <v>16</v>
      </c>
      <c r="AF61" s="64">
        <f>CHOOSE($E61,SUMPRODUCT((AF62:AF$65)*($M62:$M$65)*($C62:U$65=$B61)),IF(NOT(ISNUMBER(Data!Y59)),0,ABS(($F61*100)-(Data!Y59-$I61)*$K61)),ABS(($F61*100)-(Data!Y59-$G61)*$K61))</f>
        <v>65</v>
      </c>
      <c r="AG61" s="64">
        <f>CHOOSE($E61,SUMPRODUCT((AG62:AG$65)*($M62:$M$65)*($C62:V$65=$B61)),IF(NOT(ISNUMBER(Data!Z59)),0,ABS(($F61*100)-(Data!Z59-$I61)*$K61)),ABS(($F61*100)-(Data!Z59-$G61)*$K61))</f>
        <v>65</v>
      </c>
      <c r="AH61" s="64">
        <f>CHOOSE($E61,SUMPRODUCT((AH62:AH$65)*($M62:$M$65)*($C62:W$65=$B61)),IF(NOT(ISNUMBER(Data!AA59)),0,ABS(($F61*100)-(Data!AA59-$I61)*$K61)),ABS(($F61*100)-(Data!AA59-$G61)*$K61))</f>
        <v>65</v>
      </c>
      <c r="AI61" s="64">
        <f>CHOOSE($E61,SUMPRODUCT((AI62:AI$65)*($M62:$M$65)*($C62:X$65=$B61)),IF(NOT(ISNUMBER(Data!AB59)),0,ABS(($F61*100)-(Data!AB59-$I61)*$K61)),ABS(($F61*100)-(Data!AB59-$G61)*$K61))</f>
        <v>65</v>
      </c>
      <c r="AJ61" s="64">
        <f>CHOOSE($E61,SUMPRODUCT((AJ62:AJ$65)*($M62:$M$65)*($C62:Y$65=$B61)),IF(NOT(ISNUMBER(Data!AC59)),0,ABS(($F61*100)-(Data!AC59-$I61)*$K61)),ABS(($F61*100)-(Data!AC59-$G61)*$K61))</f>
        <v>65</v>
      </c>
      <c r="AK61" s="64">
        <f>CHOOSE($E61,SUMPRODUCT((AK62:AK$65)*($M62:$M$65)*($C62:Z$65=$B61)),IF(NOT(ISNUMBER(Data!AD59)),0,ABS(($F61*100)-(Data!AD59-$I61)*$K61)),ABS(($F61*100)-(Data!AD59-$G61)*$K61))</f>
        <v>67</v>
      </c>
      <c r="AL61" s="64">
        <f>CHOOSE($E61,SUMPRODUCT((AL62:AL$65)*($M62:$M$65)*($C62:AA$65=$B61)),IF(NOT(ISNUMBER(Data!AE59)),0,ABS(($F61*100)-(Data!AE59-$I61)*$K61)),ABS(($F61*100)-(Data!AE59-$G61)*$K61))</f>
        <v>67</v>
      </c>
      <c r="AM61" s="64">
        <f>CHOOSE($E61,SUMPRODUCT((AM62:AM$65)*($M62:$M$65)*($C62:AB$65=$B61)),IF(NOT(ISNUMBER(Data!AF59)),0,ABS(($F61*100)-(Data!AF59-$I61)*$K61)),ABS(($F61*100)-(Data!AF59-$G61)*$K61))</f>
        <v>72</v>
      </c>
      <c r="AN61" s="64">
        <f>CHOOSE($E61,SUMPRODUCT((AN62:AN$65)*($M62:$M$65)*($C62:AC$65=$B61)),IF(NOT(ISNUMBER(Data!AG59)),0,ABS(($F61*100)-(Data!AG59-$I61)*$K61)),ABS(($F61*100)-(Data!AG59-$G61)*$K61))</f>
        <v>78</v>
      </c>
      <c r="AO61" s="64">
        <f>CHOOSE($E61,SUMPRODUCT((AO62:AO$65)*($M62:$M$65)*($C62:AD$65=$B61)),IF(NOT(ISNUMBER(Data!AH59)),0,ABS(($F61*100)-(Data!AH59-$I61)*$K61)),ABS(($F61*100)-(Data!AH59-$G61)*$K61))</f>
        <v>22</v>
      </c>
      <c r="AP61" s="64">
        <f>CHOOSE($E61,SUMPRODUCT((AP62:AP$65)*($M62:$M$65)*($C62:AE$65=$B61)),IF(NOT(ISNUMBER(Data!AI59)),0,ABS(($F61*100)-(Data!AI59-$I61)*$K61)),ABS(($F61*100)-(Data!AI59-$G61)*$K61))</f>
        <v>22</v>
      </c>
      <c r="AQ61" s="64">
        <f>CHOOSE($E61,SUMPRODUCT((AQ62:AQ$65)*($M62:$M$65)*($C62:AF$65=$B61)),IF(NOT(ISNUMBER(Data!AJ59)),0,ABS(($F61*100)-(Data!AJ59-$I61)*$K61)),ABS(($F61*100)-(Data!AJ59-$G61)*$K61))</f>
        <v>6.99999999999999</v>
      </c>
      <c r="AR61" s="64">
        <f>CHOOSE($E61,SUMPRODUCT((AR62:AR$65)*($M62:$M$65)*($C62:AG$65=$B61)),IF(NOT(ISNUMBER(Data!AK59)),0,ABS(($F61*100)-(Data!AK59-$I61)*$K61)),ABS(($F61*100)-(Data!AK59-$G61)*$K61))</f>
        <v>46</v>
      </c>
      <c r="AS61" s="64">
        <f>CHOOSE($E61,SUMPRODUCT((AS62:AS$65)*($M62:$M$65)*($C62:AH$65=$B61)),IF(NOT(ISNUMBER(Data!AL59)),0,ABS(($F61*100)-(Data!AL59-$I61)*$K61)),ABS(($F61*100)-(Data!AL59-$G61)*$K61))</f>
        <v>42</v>
      </c>
      <c r="AT61" s="64">
        <f>CHOOSE($E61,SUMPRODUCT((AT62:AT$65)*($M62:$M$65)*($C62:AI$65=$B61)),IF(NOT(ISNUMBER(Data!AM59)),0,ABS(($F61*100)-(Data!AM59-$I61)*$K61)),ABS(($F61*100)-(Data!AM59-$G61)*$K61))</f>
        <v>65</v>
      </c>
      <c r="AU61" s="64">
        <f>CHOOSE($E61,SUMPRODUCT((AU62:AU$65)*($M62:$M$65)*($C62:AJ$65=$B61)),IF(NOT(ISNUMBER(Data!AN59)),0,ABS(($F61*100)-(Data!AN59-$I61)*$K61)),ABS(($F61*100)-(Data!AN59-$G61)*$K61))</f>
        <v>73</v>
      </c>
      <c r="AV61" s="64">
        <f>CHOOSE($E61,SUMPRODUCT((AV62:AV$65)*($M62:$M$65)*($C62:AK$65=$B61)),IF(NOT(ISNUMBER(Data!AO59)),0,ABS(($F61*100)-(Data!AO59-$I61)*$K61)),ABS(($F61*100)-(Data!AO59-$G61)*$K61))</f>
        <v>55</v>
      </c>
      <c r="AW61" s="64">
        <f>CHOOSE($E61,SUMPRODUCT((AW62:AW$65)*($M62:$M$65)*($C62:AL$65=$B61)),IF(NOT(ISNUMBER(Data!AP59)),0,ABS(($F61*100)-(Data!AP59-$I61)*$K61)),ABS(($F61*100)-(Data!AP59-$G61)*$K61))</f>
        <v>23</v>
      </c>
      <c r="AX61" s="64">
        <f>CHOOSE($E61,SUMPRODUCT((AX62:AX$65)*($M62:$M$65)*($C62:AM$65=$B61)),IF(NOT(ISNUMBER(Data!AQ59)),0,ABS(($F61*100)-(Data!AQ59-$I61)*$K61)),ABS(($F61*100)-(Data!AQ59-$G61)*$K61))</f>
        <v>53</v>
      </c>
      <c r="AY61" s="64">
        <f>CHOOSE($E61,SUMPRODUCT((AY62:AY$65)*($M62:$M$65)*($C62:AN$65=$B61)),IF(NOT(ISNUMBER(Data!AR59)),0,ABS(($F61*100)-(Data!AR59-$I61)*$K61)),ABS(($F61*100)-(Data!AR59-$G61)*$K61))</f>
        <v>37</v>
      </c>
      <c r="AZ61" s="64">
        <f>CHOOSE($E61,SUMPRODUCT((AZ62:AZ$65)*($M62:$M$65)*($C62:AO$65=$B61)),IF(NOT(ISNUMBER(Data!AS59)),0,ABS(($F61*100)-(Data!AS59-$I61)*$K61)),ABS(($F61*100)-(Data!AS59-$G61)*$K61))</f>
        <v>29</v>
      </c>
      <c r="BA61" s="64">
        <f>CHOOSE($E61,SUMPRODUCT((BA62:BA$65)*($M62:$M$65)*($C62:AP$65=$B61)),IF(NOT(ISNUMBER(Data!AT59)),0,ABS(($F61*100)-(Data!AT59-$I61)*$K61)),ABS(($F61*100)-(Data!AT59-$G61)*$K61))</f>
        <v>32</v>
      </c>
      <c r="BB61" s="64">
        <f>CHOOSE($E61,SUMPRODUCT((BB62:BB$65)*($M62:$M$65)*($C62:AQ$65=$B61)),IF(NOT(ISNUMBER(Data!AU59)),0,ABS(($F61*100)-(Data!AU59-$I61)*$K61)),ABS(($F61*100)-(Data!AU59-$G61)*$K61))</f>
        <v>21</v>
      </c>
      <c r="BC61" s="64">
        <f>CHOOSE($E61,SUMPRODUCT((BC62:BC$65)*($M62:$M$65)*($C62:AR$65=$B61)),IF(NOT(ISNUMBER(Data!AV59)),0,ABS(($F61*100)-(Data!AV59-$I61)*$K61)),ABS(($F61*100)-(Data!AV59-$G61)*$K61))</f>
        <v>61</v>
      </c>
      <c r="BD61" s="64">
        <f>CHOOSE($E61,SUMPRODUCT((BD62:BD$65)*($M62:$M$65)*($C62:AS$65=$B61)),IF(NOT(ISNUMBER(Data!AW59)),0,ABS(($F61*100)-(Data!AW59-$I61)*$K61)),ABS(($F61*100)-(Data!AW59-$G61)*$K61))</f>
        <v>61</v>
      </c>
      <c r="BE61" s="64">
        <f>CHOOSE($E61,SUMPRODUCT((BE62:BE$65)*($M62:$M$65)*($C62:AT$65=$B61)),IF(NOT(ISNUMBER(Data!AX59)),0,ABS(($F61*100)-(Data!AX59-$I61)*$K61)),ABS(($F61*100)-(Data!AX59-$G61)*$K61))</f>
        <v>12</v>
      </c>
      <c r="BF61" s="64">
        <f>CHOOSE($E61,SUMPRODUCT((BF62:BF$65)*($M62:$M$65)*($C62:AU$65=$B61)),IF(NOT(ISNUMBER(Data!AY59)),0,ABS(($F61*100)-(Data!AY59-$I61)*$K61)),ABS(($F61*100)-(Data!AY59-$G61)*$K61))</f>
        <v>79</v>
      </c>
      <c r="BG61" s="64">
        <f>CHOOSE($E61,SUMPRODUCT((BG62:BG$65)*($M62:$M$65)*($C62:AV$65=$B61)),IF(NOT(ISNUMBER(Data!AZ59)),0,ABS(($F61*100)-(Data!AZ59-$I61)*$K61)),ABS(($F61*100)-(Data!AZ59-$G61)*$K61))</f>
        <v>39</v>
      </c>
      <c r="BH61" s="64">
        <f>CHOOSE($E61,SUMPRODUCT((BH62:BH$65)*($M62:$M$65)*($C62:AW$65=$B61)),IF(NOT(ISNUMBER(Data!BA59)),0,ABS(($F61*100)-(Data!BA59-$I61)*$K61)),ABS(($F61*100)-(Data!BA59-$G61)*$K61))</f>
        <v>39</v>
      </c>
      <c r="BI61" s="64">
        <f>CHOOSE($E61,SUMPRODUCT((BI62:BI$65)*($M62:$M$65)*($C62:AX$65=$B61)),IF(NOT(ISNUMBER(Data!BB59)),0,ABS(($F61*100)-(Data!BB59-$I61)*$K61)),ABS(($F61*100)-(Data!BB59-$G61)*$K61))</f>
        <v>13</v>
      </c>
      <c r="BJ61" s="64">
        <f>CHOOSE($E61,SUMPRODUCT((BJ62:BJ$65)*($M62:$M$65)*($C62:AY$65=$B61)),IF(NOT(ISNUMBER(Data!BC59)),0,ABS(($F61*100)-(Data!BC59-$I61)*$K61)),ABS(($F61*100)-(Data!BC59-$G61)*$K61))</f>
        <v>56</v>
      </c>
      <c r="BK61" s="64">
        <f>CHOOSE($E61,SUMPRODUCT((BK62:BK$65)*($M62:$M$65)*($C62:AZ$65=$B61)),IF(NOT(ISNUMBER(Data!BD59)),0,ABS(($F61*100)-(Data!BD59-$I61)*$K61)),ABS(($F61*100)-(Data!BD59-$G61)*$K61))</f>
        <v>24</v>
      </c>
      <c r="BM61" s="65"/>
    </row>
    <row r="62" s="22" customFormat="1" spans="1:65">
      <c r="A62" s="24"/>
      <c r="B62" s="24" t="str">
        <f>tblIndicators!B55</f>
        <v>PERSAF_OP_05</v>
      </c>
      <c r="C62" s="24" t="str">
        <f>tblIndicators!C55</f>
        <v>PERSAF_OP</v>
      </c>
      <c r="D62" s="52">
        <f>tblIndicators!D55</f>
        <v>3</v>
      </c>
      <c r="E62" s="52">
        <f>tblIndicators!M55</f>
        <v>2</v>
      </c>
      <c r="F62" s="52">
        <f>tblIndicators!N55</f>
        <v>1</v>
      </c>
      <c r="G62" s="52">
        <f>tblIndicators!Q55</f>
        <v>0</v>
      </c>
      <c r="H62" s="52">
        <f>tblIndicators!R55</f>
        <v>0</v>
      </c>
      <c r="I62" s="52">
        <f>IF($E62=2,MIN(Data!G60:BD60),"")</f>
        <v>0.01</v>
      </c>
      <c r="J62" s="52">
        <f>IF($E62=2,MAX(Data!G60:BD60),"")</f>
        <v>2.6</v>
      </c>
      <c r="K62" s="54">
        <f t="shared" si="3"/>
        <v>38.6100386100386</v>
      </c>
      <c r="L62" s="62" t="str">
        <f>tblIndicators!Z55</f>
        <v>4.2.5) Rate of drug use</v>
      </c>
      <c r="M62" s="63">
        <f>tblIndicators!AC55</f>
        <v>0.125</v>
      </c>
      <c r="N62" s="64">
        <f>CHOOSE($E62,SUMPRODUCT((N63:N$65)*($M63:$M$65)*($C63:C$65=$B62)),IF(NOT(ISNUMBER(Data!G60)),0,ABS(($F62*100)-(Data!G60-$I62)*$K62)),ABS(($F62*100)-(Data!G60-$G62)*$K62))</f>
        <v>81.0810810810811</v>
      </c>
      <c r="O62" s="64">
        <f>CHOOSE($E62,SUMPRODUCT((O63:O$65)*($M63:$M$65)*($C63:D$65=$B62)),IF(NOT(ISNUMBER(Data!H60)),0,ABS(($F62*100)-(Data!H60-$I62)*$K62)),ABS(($F62*100)-(Data!H60-$G62)*$K62))</f>
        <v>69.4980694980695</v>
      </c>
      <c r="P62" s="64">
        <f>CHOOSE($E62,SUMPRODUCT((P63:P$65)*($M63:$M$65)*($C63:E$65=$B62)),IF(NOT(ISNUMBER(Data!I60)),0,ABS(($F62*100)-(Data!I60-$I62)*$K62)),ABS(($F62*100)-(Data!I60-$G62)*$K62))</f>
        <v>0</v>
      </c>
      <c r="Q62" s="64">
        <f>CHOOSE($E62,SUMPRODUCT((Q63:Q$65)*($M63:$M$65)*($C63:F$65=$B62)),IF(NOT(ISNUMBER(Data!J60)),0,ABS(($F62*100)-(Data!J60-$I62)*$K62)),ABS(($F62*100)-(Data!J60-$G62)*$K62))</f>
        <v>73.3590733590734</v>
      </c>
      <c r="R62" s="64">
        <f>CHOOSE($E62,SUMPRODUCT((R63:R$65)*($M63:$M$65)*($C63:G$65=$B62)),IF(NOT(ISNUMBER(Data!K60)),0,ABS(($F62*100)-(Data!K60-$I62)*$K62)),ABS(($F62*100)-(Data!K60-$G62)*$K62))</f>
        <v>73.3590733590734</v>
      </c>
      <c r="S62" s="64">
        <f>CHOOSE($E62,SUMPRODUCT((S63:S$65)*($M63:$M$65)*($C63:H$65=$B62)),IF(NOT(ISNUMBER(Data!L60)),0,ABS(($F62*100)-(Data!L60-$I62)*$K62)),ABS(($F62*100)-(Data!L60-$G62)*$K62))</f>
        <v>7.72200772200772</v>
      </c>
      <c r="T62" s="64">
        <f>CHOOSE($E62,SUMPRODUCT((T63:T$65)*($M63:$M$65)*($C63:I$65=$B62)),IF(NOT(ISNUMBER(Data!M60)),0,ABS(($F62*100)-(Data!M60-$I62)*$K62)),ABS(($F62*100)-(Data!M60-$G62)*$K62))</f>
        <v>7.72200772200772</v>
      </c>
      <c r="U62" s="64">
        <f>CHOOSE($E62,SUMPRODUCT((U63:U$65)*($M63:$M$65)*($C63:J$65=$B62)),IF(NOT(ISNUMBER(Data!N60)),0,ABS(($F62*100)-(Data!N60-$I62)*$K62)),ABS(($F62*100)-(Data!N60-$G62)*$K62))</f>
        <v>46.3320463320463</v>
      </c>
      <c r="V62" s="64">
        <f>CHOOSE($E62,SUMPRODUCT((V63:V$65)*($M63:$M$65)*($C63:K$65=$B62)),IF(NOT(ISNUMBER(Data!O60)),0,ABS(($F62*100)-(Data!O60-$I62)*$K62)),ABS(($F62*100)-(Data!O60-$G62)*$K62))</f>
        <v>46.3320463320463</v>
      </c>
      <c r="W62" s="64">
        <f>CHOOSE($E62,SUMPRODUCT((W63:W$65)*($M63:$M$65)*($C63:L$65=$B62)),IF(NOT(ISNUMBER(Data!P60)),0,ABS(($F62*100)-(Data!P60-$I62)*$K62)),ABS(($F62*100)-(Data!P60-$G62)*$K62))</f>
        <v>7.72200772200772</v>
      </c>
      <c r="X62" s="64">
        <f>CHOOSE($E62,SUMPRODUCT((X63:X$65)*($M63:$M$65)*($C63:M$65=$B62)),IF(NOT(ISNUMBER(Data!Q60)),0,ABS(($F62*100)-(Data!Q60-$I62)*$K62)),ABS(($F62*100)-(Data!Q60-$G62)*$K62))</f>
        <v>84.9420849420849</v>
      </c>
      <c r="Y62" s="64">
        <f>CHOOSE($E62,SUMPRODUCT((Y63:Y$65)*($M63:$M$65)*($C63:N$65=$B62)),IF(NOT(ISNUMBER(Data!R60)),0,ABS(($F62*100)-(Data!R60-$I62)*$K62)),ABS(($F62*100)-(Data!R60-$G62)*$K62))</f>
        <v>81.0810810810811</v>
      </c>
      <c r="Z62" s="64">
        <f>CHOOSE($E62,SUMPRODUCT((Z63:Z$65)*($M63:$M$65)*($C63:O$65=$B62)),IF(NOT(ISNUMBER(Data!S60)),0,ABS(($F62*100)-(Data!S60-$I62)*$K62)),ABS(($F62*100)-(Data!S60-$G62)*$K62))</f>
        <v>7.72200772200772</v>
      </c>
      <c r="AA62" s="64">
        <f>CHOOSE($E62,SUMPRODUCT((AA63:AA$65)*($M63:$M$65)*($C63:P$65=$B62)),IF(NOT(ISNUMBER(Data!T60)),0,ABS(($F62*100)-(Data!T60-$I62)*$K62)),ABS(($F62*100)-(Data!T60-$G62)*$K62))</f>
        <v>7.72200772200772</v>
      </c>
      <c r="AB62" s="64">
        <f>CHOOSE($E62,SUMPRODUCT((AB63:AB$65)*($M63:$M$65)*($C63:Q$65=$B62)),IF(NOT(ISNUMBER(Data!U60)),0,ABS(($F62*100)-(Data!U60-$I62)*$K62)),ABS(($F62*100)-(Data!U60-$G62)*$K62))</f>
        <v>7.72200772200772</v>
      </c>
      <c r="AC62" s="64">
        <f>CHOOSE($E62,SUMPRODUCT((AC63:AC$65)*($M63:$M$65)*($C63:R$65=$B62)),IF(NOT(ISNUMBER(Data!V60)),0,ABS(($F62*100)-(Data!V60-$I62)*$K62)),ABS(($F62*100)-(Data!V60-$G62)*$K62))</f>
        <v>27.027027027027</v>
      </c>
      <c r="AD62" s="64">
        <f>CHOOSE($E62,SUMPRODUCT((AD63:AD$65)*($M63:$M$65)*($C63:S$65=$B62)),IF(NOT(ISNUMBER(Data!W60)),0,ABS(($F62*100)-(Data!W60-$I62)*$K62)),ABS(($F62*100)-(Data!W60-$G62)*$K62))</f>
        <v>27.027027027027</v>
      </c>
      <c r="AE62" s="64">
        <f>CHOOSE($E62,SUMPRODUCT((AE63:AE$65)*($M63:$M$65)*($C63:T$65=$B62)),IF(NOT(ISNUMBER(Data!X60)),0,ABS(($F62*100)-(Data!X60-$I62)*$K62)),ABS(($F62*100)-(Data!X60-$G62)*$K62))</f>
        <v>88.8030888030888</v>
      </c>
      <c r="AF62" s="64">
        <f>CHOOSE($E62,SUMPRODUCT((AF63:AF$65)*($M63:$M$65)*($C63:U$65=$B62)),IF(NOT(ISNUMBER(Data!Y60)),0,ABS(($F62*100)-(Data!Y60-$I62)*$K62)),ABS(($F62*100)-(Data!Y60-$G62)*$K62))</f>
        <v>90.7335907335907</v>
      </c>
      <c r="AG62" s="64">
        <f>CHOOSE($E62,SUMPRODUCT((AG63:AG$65)*($M63:$M$65)*($C63:V$65=$B62)),IF(NOT(ISNUMBER(Data!Z60)),0,ABS(($F62*100)-(Data!Z60-$I62)*$K62)),ABS(($F62*100)-(Data!Z60-$G62)*$K62))</f>
        <v>90.7335907335907</v>
      </c>
      <c r="AH62" s="64">
        <f>CHOOSE($E62,SUMPRODUCT((AH63:AH$65)*($M63:$M$65)*($C63:W$65=$B62)),IF(NOT(ISNUMBER(Data!AA60)),0,ABS(($F62*100)-(Data!AA60-$I62)*$K62)),ABS(($F62*100)-(Data!AA60-$G62)*$K62))</f>
        <v>90.7335907335907</v>
      </c>
      <c r="AI62" s="64">
        <f>CHOOSE($E62,SUMPRODUCT((AI63:AI$65)*($M63:$M$65)*($C63:X$65=$B62)),IF(NOT(ISNUMBER(Data!AB60)),0,ABS(($F62*100)-(Data!AB60-$I62)*$K62)),ABS(($F62*100)-(Data!AB60-$G62)*$K62))</f>
        <v>90.7335907335907</v>
      </c>
      <c r="AJ62" s="64">
        <f>CHOOSE($E62,SUMPRODUCT((AJ63:AJ$65)*($M63:$M$65)*($C63:Y$65=$B62)),IF(NOT(ISNUMBER(Data!AC60)),0,ABS(($F62*100)-(Data!AC60-$I62)*$K62)),ABS(($F62*100)-(Data!AC60-$G62)*$K62))</f>
        <v>90.7335907335907</v>
      </c>
      <c r="AK62" s="64">
        <f>CHOOSE($E62,SUMPRODUCT((AK63:AK$65)*($M63:$M$65)*($C63:Z$65=$B62)),IF(NOT(ISNUMBER(Data!AD60)),0,ABS(($F62*100)-(Data!AD60-$I62)*$K62)),ABS(($F62*100)-(Data!AD60-$G62)*$K62))</f>
        <v>84.9420849420849</v>
      </c>
      <c r="AL62" s="64">
        <f>CHOOSE($E62,SUMPRODUCT((AL63:AL$65)*($M63:$M$65)*($C63:AA$65=$B62)),IF(NOT(ISNUMBER(Data!AE60)),0,ABS(($F62*100)-(Data!AE60-$I62)*$K62)),ABS(($F62*100)-(Data!AE60-$G62)*$K62))</f>
        <v>84.9420849420849</v>
      </c>
      <c r="AM62" s="64">
        <f>CHOOSE($E62,SUMPRODUCT((AM63:AM$65)*($M63:$M$65)*($C63:AB$65=$B62)),IF(NOT(ISNUMBER(Data!AF60)),0,ABS(($F62*100)-(Data!AF60-$I62)*$K62)),ABS(($F62*100)-(Data!AF60-$G62)*$K62))</f>
        <v>0</v>
      </c>
      <c r="AN62" s="64">
        <f>CHOOSE($E62,SUMPRODUCT((AN63:AN$65)*($M63:$M$65)*($C63:AC$65=$B62)),IF(NOT(ISNUMBER(Data!AG60)),0,ABS(($F62*100)-(Data!AG60-$I62)*$K62)),ABS(($F62*100)-(Data!AG60-$G62)*$K62))</f>
        <v>0</v>
      </c>
      <c r="AO62" s="64">
        <f>CHOOSE($E62,SUMPRODUCT((AO63:AO$65)*($M63:$M$65)*($C63:AD$65=$B62)),IF(NOT(ISNUMBER(Data!AH60)),0,ABS(($F62*100)-(Data!AH60-$I62)*$K62)),ABS(($F62*100)-(Data!AH60-$G62)*$K62))</f>
        <v>99.2277992277992</v>
      </c>
      <c r="AP62" s="64">
        <f>CHOOSE($E62,SUMPRODUCT((AP63:AP$65)*($M63:$M$65)*($C63:AE$65=$B62)),IF(NOT(ISNUMBER(Data!AI60)),0,ABS(($F62*100)-(Data!AI60-$I62)*$K62)),ABS(($F62*100)-(Data!AI60-$G62)*$K62))</f>
        <v>99.2277992277992</v>
      </c>
      <c r="AQ62" s="64">
        <f>CHOOSE($E62,SUMPRODUCT((AQ63:AQ$65)*($M63:$M$65)*($C63:AF$65=$B62)),IF(NOT(ISNUMBER(Data!AJ60)),0,ABS(($F62*100)-(Data!AJ60-$I62)*$K62)),ABS(($F62*100)-(Data!AJ60-$G62)*$K62))</f>
        <v>100</v>
      </c>
      <c r="AR62" s="64">
        <f>CHOOSE($E62,SUMPRODUCT((AR63:AR$65)*($M63:$M$65)*($C63:AG$65=$B62)),IF(NOT(ISNUMBER(Data!AK60)),0,ABS(($F62*100)-(Data!AK60-$I62)*$K62)),ABS(($F62*100)-(Data!AK60-$G62)*$K62))</f>
        <v>96.5250965250965</v>
      </c>
      <c r="AS62" s="64">
        <f>CHOOSE($E62,SUMPRODUCT((AS63:AS$65)*($M63:$M$65)*($C63:AH$65=$B62)),IF(NOT(ISNUMBER(Data!AL60)),0,ABS(($F62*100)-(Data!AL60-$I62)*$K62)),ABS(($F62*100)-(Data!AL60-$G62)*$K62))</f>
        <v>96.5250965250965</v>
      </c>
      <c r="AT62" s="64">
        <f>CHOOSE($E62,SUMPRODUCT((AT63:AT$65)*($M63:$M$65)*($C63:AI$65=$B62)),IF(NOT(ISNUMBER(Data!AM60)),0,ABS(($F62*100)-(Data!AM60-$I62)*$K62)),ABS(($F62*100)-(Data!AM60-$G62)*$K62))</f>
        <v>96.5250965250965</v>
      </c>
      <c r="AU62" s="64">
        <f>CHOOSE($E62,SUMPRODUCT((AU63:AU$65)*($M63:$M$65)*($C63:AJ$65=$B62)),IF(NOT(ISNUMBER(Data!AN60)),0,ABS(($F62*100)-(Data!AN60-$I62)*$K62)),ABS(($F62*100)-(Data!AN60-$G62)*$K62))</f>
        <v>96.5250965250965</v>
      </c>
      <c r="AV62" s="64">
        <f>CHOOSE($E62,SUMPRODUCT((AV63:AV$65)*($M63:$M$65)*($C63:AK$65=$B62)),IF(NOT(ISNUMBER(Data!AO60)),0,ABS(($F62*100)-(Data!AO60-$I62)*$K62)),ABS(($F62*100)-(Data!AO60-$G62)*$K62))</f>
        <v>96.5250965250965</v>
      </c>
      <c r="AW62" s="64">
        <f>CHOOSE($E62,SUMPRODUCT((AW63:AW$65)*($M63:$M$65)*($C63:AL$65=$B62)),IF(NOT(ISNUMBER(Data!AP60)),0,ABS(($F62*100)-(Data!AP60-$I62)*$K62)),ABS(($F62*100)-(Data!AP60-$G62)*$K62))</f>
        <v>98.0694980694981</v>
      </c>
      <c r="AX62" s="64">
        <f>CHOOSE($E62,SUMPRODUCT((AX63:AX$65)*($M63:$M$65)*($C63:AM$65=$B62)),IF(NOT(ISNUMBER(Data!AQ60)),0,ABS(($F62*100)-(Data!AQ60-$I62)*$K62)),ABS(($F62*100)-(Data!AQ60-$G62)*$K62))</f>
        <v>98.0694980694981</v>
      </c>
      <c r="AY62" s="64">
        <f>CHOOSE($E62,SUMPRODUCT((AY63:AY$65)*($M63:$M$65)*($C63:AN$65=$B62)),IF(NOT(ISNUMBER(Data!AR60)),0,ABS(($F62*100)-(Data!AR60-$I62)*$K62)),ABS(($F62*100)-(Data!AR60-$G62)*$K62))</f>
        <v>99.6138996138996</v>
      </c>
      <c r="AZ62" s="64">
        <f>CHOOSE($E62,SUMPRODUCT((AZ63:AZ$65)*($M63:$M$65)*($C63:AO$65=$B62)),IF(NOT(ISNUMBER(Data!AS60)),0,ABS(($F62*100)-(Data!AS60-$I62)*$K62)),ABS(($F62*100)-(Data!AS60-$G62)*$K62))</f>
        <v>65.6370656370656</v>
      </c>
      <c r="BA62" s="64">
        <f>CHOOSE($E62,SUMPRODUCT((BA63:BA$65)*($M63:$M$65)*($C63:AP$65=$B62)),IF(NOT(ISNUMBER(Data!AT60)),0,ABS(($F62*100)-(Data!AT60-$I62)*$K62)),ABS(($F62*100)-(Data!AT60-$G62)*$K62))</f>
        <v>77.2200772200772</v>
      </c>
      <c r="BB62" s="64">
        <f>CHOOSE($E62,SUMPRODUCT((BB63:BB$65)*($M63:$M$65)*($C63:AQ$65=$B62)),IF(NOT(ISNUMBER(Data!AU60)),0,ABS(($F62*100)-(Data!AU60-$I62)*$K62)),ABS(($F62*100)-(Data!AU60-$G62)*$K62))</f>
        <v>65.6370656370656</v>
      </c>
      <c r="BC62" s="64">
        <f>CHOOSE($E62,SUMPRODUCT((BC63:BC$65)*($M63:$M$65)*($C63:AR$65=$B62)),IF(NOT(ISNUMBER(Data!AV60)),0,ABS(($F62*100)-(Data!AV60-$I62)*$K62)),ABS(($F62*100)-(Data!AV60-$G62)*$K62))</f>
        <v>15.4440154440154</v>
      </c>
      <c r="BD62" s="64">
        <f>CHOOSE($E62,SUMPRODUCT((BD63:BD$65)*($M63:$M$65)*($C63:AS$65=$B62)),IF(NOT(ISNUMBER(Data!AW60)),0,ABS(($F62*100)-(Data!AW60-$I62)*$K62)),ABS(($F62*100)-(Data!AW60-$G62)*$K62))</f>
        <v>15.4440154440154</v>
      </c>
      <c r="BE62" s="64">
        <f>CHOOSE($E62,SUMPRODUCT((BE63:BE$65)*($M63:$M$65)*($C63:AT$65=$B62)),IF(NOT(ISNUMBER(Data!AX60)),0,ABS(($F62*100)-(Data!AX60-$I62)*$K62)),ABS(($F62*100)-(Data!AX60-$G62)*$K62))</f>
        <v>77.2200772200772</v>
      </c>
      <c r="BF62" s="64">
        <f>CHOOSE($E62,SUMPRODUCT((BF63:BF$65)*($M63:$M$65)*($C63:AU$65=$B62)),IF(NOT(ISNUMBER(Data!AY60)),0,ABS(($F62*100)-(Data!AY60-$I62)*$K62)),ABS(($F62*100)-(Data!AY60-$G62)*$K62))</f>
        <v>92.6640926640927</v>
      </c>
      <c r="BG62" s="64">
        <f>CHOOSE($E62,SUMPRODUCT((BG63:BG$65)*($M63:$M$65)*($C63:AV$65=$B62)),IF(NOT(ISNUMBER(Data!AZ60)),0,ABS(($F62*100)-(Data!AZ60-$I62)*$K62)),ABS(($F62*100)-(Data!AZ60-$G62)*$K62))</f>
        <v>0</v>
      </c>
      <c r="BH62" s="64">
        <f>CHOOSE($E62,SUMPRODUCT((BH63:BH$65)*($M63:$M$65)*($C63:AW$65=$B62)),IF(NOT(ISNUMBER(Data!BA60)),0,ABS(($F62*100)-(Data!BA60-$I62)*$K62)),ABS(($F62*100)-(Data!BA60-$G62)*$K62))</f>
        <v>0</v>
      </c>
      <c r="BI62" s="64">
        <f>CHOOSE($E62,SUMPRODUCT((BI63:BI$65)*($M63:$M$65)*($C63:AX$65=$B62)),IF(NOT(ISNUMBER(Data!BB60)),0,ABS(($F62*100)-(Data!BB60-$I62)*$K62)),ABS(($F62*100)-(Data!BB60-$G62)*$K62))</f>
        <v>92.6640926640927</v>
      </c>
      <c r="BJ62" s="64">
        <f>CHOOSE($E62,SUMPRODUCT((BJ63:BJ$65)*($M63:$M$65)*($C63:AY$65=$B62)),IF(NOT(ISNUMBER(Data!BC60)),0,ABS(($F62*100)-(Data!BC60-$I62)*$K62)),ABS(($F62*100)-(Data!BC60-$G62)*$K62))</f>
        <v>96.5250965250965</v>
      </c>
      <c r="BK62" s="64">
        <f>CHOOSE($E62,SUMPRODUCT((BK63:BK$65)*($M63:$M$65)*($C63:AZ$65=$B62)),IF(NOT(ISNUMBER(Data!BD60)),0,ABS(($F62*100)-(Data!BD60-$I62)*$K62)),ABS(($F62*100)-(Data!BD60-$G62)*$K62))</f>
        <v>27.027027027027</v>
      </c>
      <c r="BM62" s="65"/>
    </row>
    <row r="63" s="22" customFormat="1" spans="1:65">
      <c r="A63" s="24"/>
      <c r="B63" s="24" t="str">
        <f>tblIndicators!B56</f>
        <v>PERSAF_OP_07</v>
      </c>
      <c r="C63" s="24" t="str">
        <f>tblIndicators!C56</f>
        <v>PERSAF_OP</v>
      </c>
      <c r="D63" s="52">
        <f>tblIndicators!D56</f>
        <v>3</v>
      </c>
      <c r="E63" s="52">
        <f>tblIndicators!M56</f>
        <v>2</v>
      </c>
      <c r="F63" s="52">
        <f>tblIndicators!N56</f>
        <v>1</v>
      </c>
      <c r="G63" s="52">
        <f>tblIndicators!Q56</f>
        <v>0</v>
      </c>
      <c r="H63" s="52">
        <f>tblIndicators!R56</f>
        <v>0</v>
      </c>
      <c r="I63" s="52">
        <f>IF($E63=2,MIN(Data!G61:BD61),"")</f>
        <v>0</v>
      </c>
      <c r="J63" s="52">
        <f>IF($E63=2,MAX(Data!G61:BD61),"")</f>
        <v>8.6</v>
      </c>
      <c r="K63" s="54">
        <f t="shared" si="3"/>
        <v>11.6279069767442</v>
      </c>
      <c r="L63" s="62" t="str">
        <f>tblIndicators!Z56</f>
        <v>4.2.6) Frequency of terrorist attacks</v>
      </c>
      <c r="M63" s="63">
        <f>tblIndicators!AC56</f>
        <v>0.125</v>
      </c>
      <c r="N63" s="64">
        <f>CHOOSE($E63,SUMPRODUCT((N64:N$65)*($M64:$M$65)*($C64:C$65=$B63)),IF(NOT(ISNUMBER(Data!G61)),0,ABS(($F63*100)-(Data!G61-$I63)*$K63)),ABS(($F63*100)-(Data!G61-$G63)*$K63))</f>
        <v>95.3488372093023</v>
      </c>
      <c r="O63" s="64">
        <f>CHOOSE($E63,SUMPRODUCT((O64:O$65)*($M64:$M$65)*($C64:D$65=$B63)),IF(NOT(ISNUMBER(Data!H61)),0,ABS(($F63*100)-(Data!H61-$I63)*$K63)),ABS(($F63*100)-(Data!H61-$G63)*$K63))</f>
        <v>98.8372093023256</v>
      </c>
      <c r="P63" s="64">
        <f>CHOOSE($E63,SUMPRODUCT((P64:P$65)*($M64:$M$65)*($C64:E$65=$B63)),IF(NOT(ISNUMBER(Data!I61)),0,ABS(($F63*100)-(Data!I61-$I63)*$K63)),ABS(($F63*100)-(Data!I61-$G63)*$K63))</f>
        <v>87.2093023255814</v>
      </c>
      <c r="Q63" s="64">
        <f>CHOOSE($E63,SUMPRODUCT((Q64:Q$65)*($M64:$M$65)*($C64:F$65=$B63)),IF(NOT(ISNUMBER(Data!J61)),0,ABS(($F63*100)-(Data!J61-$I63)*$K63)),ABS(($F63*100)-(Data!J61-$G63)*$K63))</f>
        <v>97.6744186046512</v>
      </c>
      <c r="R63" s="64">
        <f>CHOOSE($E63,SUMPRODUCT((R64:R$65)*($M64:$M$65)*($C64:G$65=$B63)),IF(NOT(ISNUMBER(Data!K61)),0,ABS(($F63*100)-(Data!K61-$I63)*$K63)),ABS(($F63*100)-(Data!K61-$G63)*$K63))</f>
        <v>100</v>
      </c>
      <c r="S63" s="64">
        <f>CHOOSE($E63,SUMPRODUCT((S64:S$65)*($M64:$M$65)*($C64:H$65=$B63)),IF(NOT(ISNUMBER(Data!L61)),0,ABS(($F63*100)-(Data!L61-$I63)*$K63)),ABS(($F63*100)-(Data!L61-$G63)*$K63))</f>
        <v>90.6976744186046</v>
      </c>
      <c r="T63" s="64">
        <f>CHOOSE($E63,SUMPRODUCT((T64:T$65)*($M64:$M$65)*($C64:I$65=$B63)),IF(NOT(ISNUMBER(Data!M61)),0,ABS(($F63*100)-(Data!M61-$I63)*$K63)),ABS(($F63*100)-(Data!M61-$G63)*$K63))</f>
        <v>98.8372093023256</v>
      </c>
      <c r="U63" s="64">
        <f>CHOOSE($E63,SUMPRODUCT((U64:U$65)*($M64:$M$65)*($C64:J$65=$B63)),IF(NOT(ISNUMBER(Data!N61)),0,ABS(($F63*100)-(Data!N61-$I63)*$K63)),ABS(($F63*100)-(Data!N61-$G63)*$K63))</f>
        <v>98.8372093023256</v>
      </c>
      <c r="V63" s="64">
        <f>CHOOSE($E63,SUMPRODUCT((V64:V$65)*($M64:$M$65)*($C64:K$65=$B63)),IF(NOT(ISNUMBER(Data!O61)),0,ABS(($F63*100)-(Data!O61-$I63)*$K63)),ABS(($F63*100)-(Data!O61-$G63)*$K63))</f>
        <v>97.6744186046512</v>
      </c>
      <c r="W63" s="64">
        <f>CHOOSE($E63,SUMPRODUCT((W64:W$65)*($M64:$M$65)*($C64:L$65=$B63)),IF(NOT(ISNUMBER(Data!P61)),0,ABS(($F63*100)-(Data!P61-$I63)*$K63)),ABS(($F63*100)-(Data!P61-$G63)*$K63))</f>
        <v>100</v>
      </c>
      <c r="X63" s="64">
        <f>CHOOSE($E63,SUMPRODUCT((X64:X$65)*($M64:$M$65)*($C64:M$65=$B63)),IF(NOT(ISNUMBER(Data!Q61)),0,ABS(($F63*100)-(Data!Q61-$I63)*$K63)),ABS(($F63*100)-(Data!Q61-$G63)*$K63))</f>
        <v>93.0232558139535</v>
      </c>
      <c r="Y63" s="64">
        <f>CHOOSE($E63,SUMPRODUCT((Y64:Y$65)*($M64:$M$65)*($C64:N$65=$B63)),IF(NOT(ISNUMBER(Data!R61)),0,ABS(($F63*100)-(Data!R61-$I63)*$K63)),ABS(($F63*100)-(Data!R61-$G63)*$K63))</f>
        <v>98.8372093023256</v>
      </c>
      <c r="Z63" s="64">
        <f>CHOOSE($E63,SUMPRODUCT((Z64:Z$65)*($M64:$M$65)*($C64:O$65=$B63)),IF(NOT(ISNUMBER(Data!S61)),0,ABS(($F63*100)-(Data!S61-$I63)*$K63)),ABS(($F63*100)-(Data!S61-$G63)*$K63))</f>
        <v>62.7906976744186</v>
      </c>
      <c r="AA63" s="64">
        <f>CHOOSE($E63,SUMPRODUCT((AA64:AA$65)*($M64:$M$65)*($C64:P$65=$B63)),IF(NOT(ISNUMBER(Data!T61)),0,ABS(($F63*100)-(Data!T61-$I63)*$K63)),ABS(($F63*100)-(Data!T61-$G63)*$K63))</f>
        <v>90.6976744186046</v>
      </c>
      <c r="AB63" s="64">
        <f>CHOOSE($E63,SUMPRODUCT((AB64:AB$65)*($M64:$M$65)*($C64:Q$65=$B63)),IF(NOT(ISNUMBER(Data!U61)),0,ABS(($F63*100)-(Data!U61-$I63)*$K63)),ABS(($F63*100)-(Data!U61-$G63)*$K63))</f>
        <v>96.5116279069767</v>
      </c>
      <c r="AC63" s="64">
        <f>CHOOSE($E63,SUMPRODUCT((AC64:AC$65)*($M64:$M$65)*($C64:R$65=$B63)),IF(NOT(ISNUMBER(Data!V61)),0,ABS(($F63*100)-(Data!V61-$I63)*$K63)),ABS(($F63*100)-(Data!V61-$G63)*$K63))</f>
        <v>100</v>
      </c>
      <c r="AD63" s="64">
        <f>CHOOSE($E63,SUMPRODUCT((AD64:AD$65)*($M64:$M$65)*($C64:S$65=$B63)),IF(NOT(ISNUMBER(Data!W61)),0,ABS(($F63*100)-(Data!W61-$I63)*$K63)),ABS(($F63*100)-(Data!W61-$G63)*$K63))</f>
        <v>100</v>
      </c>
      <c r="AE63" s="64">
        <f>CHOOSE($E63,SUMPRODUCT((AE64:AE$65)*($M64:$M$65)*($C64:T$65=$B63)),IF(NOT(ISNUMBER(Data!X61)),0,ABS(($F63*100)-(Data!X61-$I63)*$K63)),ABS(($F63*100)-(Data!X61-$G63)*$K63))</f>
        <v>98.8372093023256</v>
      </c>
      <c r="AF63" s="64">
        <f>CHOOSE($E63,SUMPRODUCT((AF64:AF$65)*($M64:$M$65)*($C64:U$65=$B63)),IF(NOT(ISNUMBER(Data!Y61)),0,ABS(($F63*100)-(Data!Y61-$I63)*$K63)),ABS(($F63*100)-(Data!Y61-$G63)*$K63))</f>
        <v>96.5116279069767</v>
      </c>
      <c r="AG63" s="64">
        <f>CHOOSE($E63,SUMPRODUCT((AG64:AG$65)*($M64:$M$65)*($C64:V$65=$B63)),IF(NOT(ISNUMBER(Data!Z61)),0,ABS(($F63*100)-(Data!Z61-$I63)*$K63)),ABS(($F63*100)-(Data!Z61-$G63)*$K63))</f>
        <v>100</v>
      </c>
      <c r="AH63" s="64">
        <f>CHOOSE($E63,SUMPRODUCT((AH64:AH$65)*($M64:$M$65)*($C64:W$65=$B63)),IF(NOT(ISNUMBER(Data!AA61)),0,ABS(($F63*100)-(Data!AA61-$I63)*$K63)),ABS(($F63*100)-(Data!AA61-$G63)*$K63))</f>
        <v>98.8372093023256</v>
      </c>
      <c r="AI63" s="64">
        <f>CHOOSE($E63,SUMPRODUCT((AI64:AI$65)*($M64:$M$65)*($C64:X$65=$B63)),IF(NOT(ISNUMBER(Data!AB61)),0,ABS(($F63*100)-(Data!AB61-$I63)*$K63)),ABS(($F63*100)-(Data!AB61-$G63)*$K63))</f>
        <v>100</v>
      </c>
      <c r="AJ63" s="64">
        <f>CHOOSE($E63,SUMPRODUCT((AJ64:AJ$65)*($M64:$M$65)*($C64:Y$65=$B63)),IF(NOT(ISNUMBER(Data!AC61)),0,ABS(($F63*100)-(Data!AC61-$I63)*$K63)),ABS(($F63*100)-(Data!AC61-$G63)*$K63))</f>
        <v>100</v>
      </c>
      <c r="AK63" s="64">
        <f>CHOOSE($E63,SUMPRODUCT((AK64:AK$65)*($M64:$M$65)*($C64:Z$65=$B63)),IF(NOT(ISNUMBER(Data!AD61)),0,ABS(($F63*100)-(Data!AD61-$I63)*$K63)),ABS(($F63*100)-(Data!AD61-$G63)*$K63))</f>
        <v>84.8837209302326</v>
      </c>
      <c r="AL63" s="64">
        <f>CHOOSE($E63,SUMPRODUCT((AL64:AL$65)*($M64:$M$65)*($C64:AA$65=$B63)),IF(NOT(ISNUMBER(Data!AE61)),0,ABS(($F63*100)-(Data!AE61-$I63)*$K63)),ABS(($F63*100)-(Data!AE61-$G63)*$K63))</f>
        <v>83.7209302325581</v>
      </c>
      <c r="AM63" s="64">
        <f>CHOOSE($E63,SUMPRODUCT((AM64:AM$65)*($M64:$M$65)*($C64:AB$65=$B63)),IF(NOT(ISNUMBER(Data!AF61)),0,ABS(($F63*100)-(Data!AF61-$I63)*$K63)),ABS(($F63*100)-(Data!AF61-$G63)*$K63))</f>
        <v>77.906976744186</v>
      </c>
      <c r="AN63" s="64">
        <f>CHOOSE($E63,SUMPRODUCT((AN64:AN$65)*($M64:$M$65)*($C64:AC$65=$B63)),IF(NOT(ISNUMBER(Data!AG61)),0,ABS(($F63*100)-(Data!AG61-$I63)*$K63)),ABS(($F63*100)-(Data!AG61-$G63)*$K63))</f>
        <v>87.2093023255814</v>
      </c>
      <c r="AO63" s="64">
        <f>CHOOSE($E63,SUMPRODUCT((AO64:AO$65)*($M64:$M$65)*($C64:AD$65=$B63)),IF(NOT(ISNUMBER(Data!AH61)),0,ABS(($F63*100)-(Data!AH61-$I63)*$K63)),ABS(($F63*100)-(Data!AH61-$G63)*$K63))</f>
        <v>100</v>
      </c>
      <c r="AP63" s="64">
        <f>CHOOSE($E63,SUMPRODUCT((AP64:AP$65)*($M64:$M$65)*($C64:AE$65=$B63)),IF(NOT(ISNUMBER(Data!AI61)),0,ABS(($F63*100)-(Data!AI61-$I63)*$K63)),ABS(($F63*100)-(Data!AI61-$G63)*$K63))</f>
        <v>100</v>
      </c>
      <c r="AQ63" s="64">
        <f>CHOOSE($E63,SUMPRODUCT((AQ64:AQ$65)*($M64:$M$65)*($C64:AF$65=$B63)),IF(NOT(ISNUMBER(Data!AJ61)),0,ABS(($F63*100)-(Data!AJ61-$I63)*$K63)),ABS(($F63*100)-(Data!AJ61-$G63)*$K63))</f>
        <v>100</v>
      </c>
      <c r="AR63" s="64">
        <f>CHOOSE($E63,SUMPRODUCT((AR64:AR$65)*($M64:$M$65)*($C64:AG$65=$B63)),IF(NOT(ISNUMBER(Data!AK61)),0,ABS(($F63*100)-(Data!AK61-$I63)*$K63)),ABS(($F63*100)-(Data!AK61-$G63)*$K63))</f>
        <v>98.8372093023256</v>
      </c>
      <c r="AS63" s="64">
        <f>CHOOSE($E63,SUMPRODUCT((AS64:AS$65)*($M64:$M$65)*($C64:AH$65=$B63)),IF(NOT(ISNUMBER(Data!AL61)),0,ABS(($F63*100)-(Data!AL61-$I63)*$K63)),ABS(($F63*100)-(Data!AL61-$G63)*$K63))</f>
        <v>97.6744186046512</v>
      </c>
      <c r="AT63" s="64">
        <f>CHOOSE($E63,SUMPRODUCT((AT64:AT$65)*($M64:$M$65)*($C64:AI$65=$B63)),IF(NOT(ISNUMBER(Data!AM61)),0,ABS(($F63*100)-(Data!AM61-$I63)*$K63)),ABS(($F63*100)-(Data!AM61-$G63)*$K63))</f>
        <v>0</v>
      </c>
      <c r="AU63" s="64">
        <f>CHOOSE($E63,SUMPRODUCT((AU64:AU$65)*($M64:$M$65)*($C64:AJ$65=$B63)),IF(NOT(ISNUMBER(Data!AN61)),0,ABS(($F63*100)-(Data!AN61-$I63)*$K63)),ABS(($F63*100)-(Data!AN61-$G63)*$K63))</f>
        <v>100</v>
      </c>
      <c r="AV63" s="64">
        <f>CHOOSE($E63,SUMPRODUCT((AV64:AV$65)*($M64:$M$65)*($C64:AK$65=$B63)),IF(NOT(ISNUMBER(Data!AO61)),0,ABS(($F63*100)-(Data!AO61-$I63)*$K63)),ABS(($F63*100)-(Data!AO61-$G63)*$K63))</f>
        <v>100</v>
      </c>
      <c r="AW63" s="64">
        <f>CHOOSE($E63,SUMPRODUCT((AW64:AW$65)*($M64:$M$65)*($C64:AL$65=$B63)),IF(NOT(ISNUMBER(Data!AP61)),0,ABS(($F63*100)-(Data!AP61-$I63)*$K63)),ABS(($F63*100)-(Data!AP61-$G63)*$K63))</f>
        <v>98.8372093023256</v>
      </c>
      <c r="AX63" s="64">
        <f>CHOOSE($E63,SUMPRODUCT((AX64:AX$65)*($M64:$M$65)*($C64:AM$65=$B63)),IF(NOT(ISNUMBER(Data!AQ61)),0,ABS(($F63*100)-(Data!AQ61-$I63)*$K63)),ABS(($F63*100)-(Data!AQ61-$G63)*$K63))</f>
        <v>86.046511627907</v>
      </c>
      <c r="AY63" s="64">
        <f>CHOOSE($E63,SUMPRODUCT((AY64:AY$65)*($M64:$M$65)*($C64:AN$65=$B63)),IF(NOT(ISNUMBER(Data!AR61)),0,ABS(($F63*100)-(Data!AR61-$I63)*$K63)),ABS(($F63*100)-(Data!AR61-$G63)*$K63))</f>
        <v>100</v>
      </c>
      <c r="AZ63" s="64">
        <f>CHOOSE($E63,SUMPRODUCT((AZ64:AZ$65)*($M64:$M$65)*($C64:AO$65=$B63)),IF(NOT(ISNUMBER(Data!AS61)),0,ABS(($F63*100)-(Data!AS61-$I63)*$K63)),ABS(($F63*100)-(Data!AS61-$G63)*$K63))</f>
        <v>97.6744186046512</v>
      </c>
      <c r="BA63" s="64">
        <f>CHOOSE($E63,SUMPRODUCT((BA64:BA$65)*($M64:$M$65)*($C64:AP$65=$B63)),IF(NOT(ISNUMBER(Data!AT61)),0,ABS(($F63*100)-(Data!AT61-$I63)*$K63)),ABS(($F63*100)-(Data!AT61-$G63)*$K63))</f>
        <v>88.3720930232558</v>
      </c>
      <c r="BB63" s="64">
        <f>CHOOSE($E63,SUMPRODUCT((BB64:BB$65)*($M64:$M$65)*($C64:AQ$65=$B63)),IF(NOT(ISNUMBER(Data!AU61)),0,ABS(($F63*100)-(Data!AU61-$I63)*$K63)),ABS(($F63*100)-(Data!AU61-$G63)*$K63))</f>
        <v>97.6744186046512</v>
      </c>
      <c r="BC63" s="64">
        <f>CHOOSE($E63,SUMPRODUCT((BC64:BC$65)*($M64:$M$65)*($C64:AR$65=$B63)),IF(NOT(ISNUMBER(Data!AV61)),0,ABS(($F63*100)-(Data!AV61-$I63)*$K63)),ABS(($F63*100)-(Data!AV61-$G63)*$K63))</f>
        <v>89.5348837209302</v>
      </c>
      <c r="BD63" s="64">
        <f>CHOOSE($E63,SUMPRODUCT((BD64:BD$65)*($M64:$M$65)*($C64:AS$65=$B63)),IF(NOT(ISNUMBER(Data!AW61)),0,ABS(($F63*100)-(Data!AW61-$I63)*$K63)),ABS(($F63*100)-(Data!AW61-$G63)*$K63))</f>
        <v>91.8604651162791</v>
      </c>
      <c r="BE63" s="64">
        <f>CHOOSE($E63,SUMPRODUCT((BE64:BE$65)*($M64:$M$65)*($C64:AT$65=$B63)),IF(NOT(ISNUMBER(Data!AX61)),0,ABS(($F63*100)-(Data!AX61-$I63)*$K63)),ABS(($F63*100)-(Data!AX61-$G63)*$K63))</f>
        <v>98.8372093023256</v>
      </c>
      <c r="BF63" s="64">
        <f>CHOOSE($E63,SUMPRODUCT((BF64:BF$65)*($M64:$M$65)*($C64:AU$65=$B63)),IF(NOT(ISNUMBER(Data!AY61)),0,ABS(($F63*100)-(Data!AY61-$I63)*$K63)),ABS(($F63*100)-(Data!AY61-$G63)*$K63))</f>
        <v>74.4186046511628</v>
      </c>
      <c r="BG63" s="64">
        <f>CHOOSE($E63,SUMPRODUCT((BG64:BG$65)*($M64:$M$65)*($C64:AV$65=$B63)),IF(NOT(ISNUMBER(Data!AZ61)),0,ABS(($F63*100)-(Data!AZ61-$I63)*$K63)),ABS(($F63*100)-(Data!AZ61-$G63)*$K63))</f>
        <v>77.906976744186</v>
      </c>
      <c r="BH63" s="64">
        <f>CHOOSE($E63,SUMPRODUCT((BH64:BH$65)*($M64:$M$65)*($C64:AW$65=$B63)),IF(NOT(ISNUMBER(Data!BA61)),0,ABS(($F63*100)-(Data!BA61-$I63)*$K63)),ABS(($F63*100)-(Data!BA61-$G63)*$K63))</f>
        <v>98.8372093023256</v>
      </c>
      <c r="BI63" s="64">
        <f>CHOOSE($E63,SUMPRODUCT((BI64:BI$65)*($M64:$M$65)*($C64:AX$65=$B63)),IF(NOT(ISNUMBER(Data!BB61)),0,ABS(($F63*100)-(Data!BB61-$I63)*$K63)),ABS(($F63*100)-(Data!BB61-$G63)*$K63))</f>
        <v>98.8372093023256</v>
      </c>
      <c r="BJ63" s="64">
        <f>CHOOSE($E63,SUMPRODUCT((BJ64:BJ$65)*($M64:$M$65)*($C64:AY$65=$B63)),IF(NOT(ISNUMBER(Data!BC61)),0,ABS(($F63*100)-(Data!BC61-$I63)*$K63)),ABS(($F63*100)-(Data!BC61-$G63)*$K63))</f>
        <v>36.046511627907</v>
      </c>
      <c r="BK63" s="64">
        <f>CHOOSE($E63,SUMPRODUCT((BK64:BK$65)*($M64:$M$65)*($C64:AZ$65=$B63)),IF(NOT(ISNUMBER(Data!BD61)),0,ABS(($F63*100)-(Data!BD61-$I63)*$K63)),ABS(($F63*100)-(Data!BD61-$G63)*$K63))</f>
        <v>72.0930232558139</v>
      </c>
      <c r="BM63" s="65"/>
    </row>
    <row r="64" spans="1:65">
      <c r="A64" s="24"/>
      <c r="B64" s="24" t="str">
        <f>tblIndicators!B57</f>
        <v>PERSAF_OP_08</v>
      </c>
      <c r="C64" s="24" t="str">
        <f>tblIndicators!C57</f>
        <v>PERSAF_OP</v>
      </c>
      <c r="D64" s="52">
        <f>tblIndicators!D57</f>
        <v>3</v>
      </c>
      <c r="E64" s="52">
        <f>tblIndicators!M57</f>
        <v>2</v>
      </c>
      <c r="F64" s="52">
        <f>tblIndicators!N57</f>
        <v>1</v>
      </c>
      <c r="G64" s="52">
        <f>tblIndicators!Q57</f>
        <v>0</v>
      </c>
      <c r="H64" s="52">
        <f>tblIndicators!R57</f>
        <v>0</v>
      </c>
      <c r="I64" s="52">
        <f>IF($E64=2,MIN(Data!G62:BD62),"")</f>
        <v>10</v>
      </c>
      <c r="J64" s="52">
        <f>IF($E64=2,MAX(Data!G62:BD62),"")</f>
        <v>31883</v>
      </c>
      <c r="K64" s="54">
        <f t="shared" si="3"/>
        <v>0.00313745176167916</v>
      </c>
      <c r="L64" s="62" t="str">
        <f>tblIndicators!Z57</f>
        <v>4.2.7) Gender safety</v>
      </c>
      <c r="M64" s="63">
        <f>tblIndicators!AC57</f>
        <v>0.125</v>
      </c>
      <c r="N64" s="64">
        <f>CHOOSE($E64,SUMPRODUCT((N65:N$65)*($M65:$M$65)*($C65:C$65=$B64)),IF(NOT(ISNUMBER(Data!G62)),0,ABS(($F64*100)-(Data!G62-$I64)*$K64)),ABS(($F64*100)-(Data!G62-$G64)*$K64))</f>
        <v>81.5611959966116</v>
      </c>
      <c r="O64" s="64">
        <f>CHOOSE($E64,SUMPRODUCT((O65:O$65)*($M65:$M$65)*($C65:D$65=$B64)),IF(NOT(ISNUMBER(Data!H62)),0,ABS(($F64*100)-(Data!H62-$I64)*$K64)),ABS(($F64*100)-(Data!H62-$G64)*$K64))</f>
        <v>99.4854579110846</v>
      </c>
      <c r="P64" s="64">
        <f>CHOOSE($E64,SUMPRODUCT((P65:P$65)*($M65:$M$65)*($C65:E$65=$B64)),IF(NOT(ISNUMBER(Data!I62)),0,ABS(($F64*100)-(Data!I62-$I64)*$K64)),ABS(($F64*100)-(Data!I62-$G64)*$K64))</f>
        <v>71.7943086625043</v>
      </c>
      <c r="Q64" s="64">
        <f>CHOOSE($E64,SUMPRODUCT((Q65:Q$65)*($M65:$M$65)*($C65:F$65=$B64)),IF(NOT(ISNUMBER(Data!J62)),0,ABS(($F64*100)-(Data!J62-$I64)*$K64)),ABS(($F64*100)-(Data!J62-$G64)*$K64))</f>
        <v>98.1516644181596</v>
      </c>
      <c r="R64" s="64">
        <f>CHOOSE($E64,SUMPRODUCT((R65:R$65)*($M65:$M$65)*($C65:G$65=$B64)),IF(NOT(ISNUMBER(Data!K62)),0,ABS(($F64*100)-(Data!K62-$I64)*$K64)),ABS(($F64*100)-(Data!K62-$G64)*$K64))</f>
        <v>81.5674709001349</v>
      </c>
      <c r="S64" s="64">
        <f>CHOOSE($E64,SUMPRODUCT((S65:S$65)*($M65:$M$65)*($C65:H$65=$B64)),IF(NOT(ISNUMBER(Data!L62)),0,ABS(($F64*100)-(Data!L62-$I64)*$K64)),ABS(($F64*100)-(Data!L62-$G64)*$K64))</f>
        <v>97.0947196686851</v>
      </c>
      <c r="T64" s="64">
        <f>CHOOSE($E64,SUMPRODUCT((T65:T$65)*($M65:$M$65)*($C65:I$65=$B64)),IF(NOT(ISNUMBER(Data!M62)),0,ABS(($F64*100)-(Data!M62-$I64)*$K64)),ABS(($F64*100)-(Data!M62-$G64)*$K64))</f>
        <v>99.6862548238321</v>
      </c>
      <c r="U64" s="64">
        <f>CHOOSE($E64,SUMPRODUCT((U65:U$65)*($M65:$M$65)*($C65:J$65=$B64)),IF(NOT(ISNUMBER(Data!N62)),0,ABS(($F64*100)-(Data!N62-$I64)*$K64)),ABS(($F64*100)-(Data!N62-$G64)*$K64))</f>
        <v>98.2242023028896</v>
      </c>
      <c r="V64" s="64">
        <f>CHOOSE($E64,SUMPRODUCT((V65:V$65)*($M65:$M$65)*($C65:K$65=$B64)),IF(NOT(ISNUMBER(Data!O62)),0,ABS(($F64*100)-(Data!O62-$I64)*$K64)),ABS(($F64*100)-(Data!O62-$G64)*$K64))</f>
        <v>98.2242023028896</v>
      </c>
      <c r="W64" s="64">
        <f>CHOOSE($E64,SUMPRODUCT((W65:W$65)*($M65:$M$65)*($C65:L$65=$B64)),IF(NOT(ISNUMBER(Data!P62)),0,ABS(($F64*100)-(Data!P62-$I64)*$K64)),ABS(($F64*100)-(Data!P62-$G64)*$K64))</f>
        <v>95.4538323973269</v>
      </c>
      <c r="X64" s="64">
        <f>CHOOSE($E64,SUMPRODUCT((X65:X$65)*($M65:$M$65)*($C65:M$65=$B64)),IF(NOT(ISNUMBER(Data!Q62)),0,ABS(($F64*100)-(Data!Q62-$I64)*$K64)),ABS(($F64*100)-(Data!Q62-$G64)*$K64))</f>
        <v>52.9915602547611</v>
      </c>
      <c r="Y64" s="64">
        <f>CHOOSE($E64,SUMPRODUCT((Y65:Y$65)*($M65:$M$65)*($C65:N$65=$B64)),IF(NOT(ISNUMBER(Data!R62)),0,ABS(($F64*100)-(Data!R62-$I64)*$K64)),ABS(($F64*100)-(Data!R62-$G64)*$K64))</f>
        <v>78.8504376745207</v>
      </c>
      <c r="Z64" s="64">
        <f>CHOOSE($E64,SUMPRODUCT((Z65:Z$65)*($M65:$M$65)*($C65:O$65=$B64)),IF(NOT(ISNUMBER(Data!S62)),0,ABS(($F64*100)-(Data!S62-$I64)*$K64)),ABS(($F64*100)-(Data!S62-$G64)*$K64))</f>
        <v>94.7918300756126</v>
      </c>
      <c r="AA64" s="64">
        <f>CHOOSE($E64,SUMPRODUCT((AA65:AA$65)*($M65:$M$65)*($C65:P$65=$B64)),IF(NOT(ISNUMBER(Data!T62)),0,ABS(($F64*100)-(Data!T62-$I64)*$K64)),ABS(($F64*100)-(Data!T62-$G64)*$K64))</f>
        <v>95.7079659900229</v>
      </c>
      <c r="AB64" s="64">
        <f>CHOOSE($E64,SUMPRODUCT((AB65:AB$65)*($M65:$M$65)*($C65:Q$65=$B64)),IF(NOT(ISNUMBER(Data!U62)),0,ABS(($F64*100)-(Data!U62-$I64)*$K64)),ABS(($F64*100)-(Data!U62-$G64)*$K64))</f>
        <v>98.7983559752769</v>
      </c>
      <c r="AC64" s="64">
        <f>CHOOSE($E64,SUMPRODUCT((AC65:AC$65)*($M65:$M$65)*($C65:R$65=$B64)),IF(NOT(ISNUMBER(Data!V62)),0,ABS(($F64*100)-(Data!V62-$I64)*$K64)),ABS(($F64*100)-(Data!V62-$G64)*$K64))</f>
        <v>80.0207071816271</v>
      </c>
      <c r="AD64" s="64">
        <f>CHOOSE($E64,SUMPRODUCT((AD65:AD$65)*($M65:$M$65)*($C65:S$65=$B64)),IF(NOT(ISNUMBER(Data!W62)),0,ABS(($F64*100)-(Data!W62-$I64)*$K64)),ABS(($F64*100)-(Data!W62-$G64)*$K64))</f>
        <v>93.3046779405767</v>
      </c>
      <c r="AE64" s="64">
        <f>CHOOSE($E64,SUMPRODUCT((AE65:AE$65)*($M65:$M$65)*($C65:T$65=$B64)),IF(NOT(ISNUMBER(Data!X62)),0,ABS(($F64*100)-(Data!X62-$I64)*$K64)),ABS(($F64*100)-(Data!X62-$G64)*$K64))</f>
        <v>99.7019420826405</v>
      </c>
      <c r="AF64" s="64">
        <f>CHOOSE($E64,SUMPRODUCT((AF65:AF$65)*($M65:$M$65)*($C65:U$65=$B64)),IF(NOT(ISNUMBER(Data!Y62)),0,ABS(($F64*100)-(Data!Y62-$I64)*$K64)),ABS(($F64*100)-(Data!Y62-$G64)*$K64))</f>
        <v>0</v>
      </c>
      <c r="AG64" s="64">
        <f>CHOOSE($E64,SUMPRODUCT((AG65:AG$65)*($M65:$M$65)*($C65:V$65=$B64)),IF(NOT(ISNUMBER(Data!Z62)),0,ABS(($F64*100)-(Data!Z62-$I64)*$K64)),ABS(($F64*100)-(Data!Z62-$G64)*$K64))</f>
        <v>0</v>
      </c>
      <c r="AH64" s="64">
        <f>CHOOSE($E64,SUMPRODUCT((AH65:AH$65)*($M65:$M$65)*($C65:W$65=$B64)),IF(NOT(ISNUMBER(Data!AA62)),0,ABS(($F64*100)-(Data!AA62-$I64)*$K64)),ABS(($F64*100)-(Data!AA62-$G64)*$K64))</f>
        <v>0</v>
      </c>
      <c r="AI64" s="64">
        <f>CHOOSE($E64,SUMPRODUCT((AI65:AI$65)*($M65:$M$65)*($C65:X$65=$B64)),IF(NOT(ISNUMBER(Data!AB62)),0,ABS(($F64*100)-(Data!AB62-$I64)*$K64)),ABS(($F64*100)-(Data!AB62-$G64)*$K64))</f>
        <v>0</v>
      </c>
      <c r="AJ64" s="64">
        <f>CHOOSE($E64,SUMPRODUCT((AJ65:AJ$65)*($M65:$M$65)*($C65:Y$65=$B64)),IF(NOT(ISNUMBER(Data!AC62)),0,ABS(($F64*100)-(Data!AC62-$I64)*$K64)),ABS(($F64*100)-(Data!AC62-$G64)*$K64))</f>
        <v>0</v>
      </c>
      <c r="AK64" s="64">
        <f>CHOOSE($E64,SUMPRODUCT((AK65:AK$65)*($M65:$M$65)*($C65:Z$65=$B64)),IF(NOT(ISNUMBER(Data!AD62)),0,ABS(($F64*100)-(Data!AD62-$I64)*$K64)),ABS(($F64*100)-(Data!AD62-$G64)*$K64))</f>
        <v>98.9709158221692</v>
      </c>
      <c r="AL64" s="64">
        <f>CHOOSE($E64,SUMPRODUCT((AL65:AL$65)*($M65:$M$65)*($C65:AA$65=$B64)),IF(NOT(ISNUMBER(Data!AE62)),0,ABS(($F64*100)-(Data!AE62-$I64)*$K64)),ABS(($F64*100)-(Data!AE62-$G64)*$K64))</f>
        <v>95.140087221159</v>
      </c>
      <c r="AM64" s="64">
        <f>CHOOSE($E64,SUMPRODUCT((AM65:AM$65)*($M65:$M$65)*($C65:AB$65=$B64)),IF(NOT(ISNUMBER(Data!AF62)),0,ABS(($F64*100)-(Data!AF62-$I64)*$K64)),ABS(($F64*100)-(Data!AF62-$G64)*$K64))</f>
        <v>99.7646911178741</v>
      </c>
      <c r="AN64" s="64">
        <f>CHOOSE($E64,SUMPRODUCT((AN65:AN$65)*($M65:$M$65)*($C65:AC$65=$B64)),IF(NOT(ISNUMBER(Data!AG62)),0,ABS(($F64*100)-(Data!AG62-$I64)*$K64)),ABS(($F64*100)-(Data!AG62-$G64)*$K64))</f>
        <v>99.8405233269538</v>
      </c>
      <c r="AO64" s="64">
        <f>CHOOSE($E64,SUMPRODUCT((AO65:AO$65)*($M65:$M$65)*($C65:AD$65=$B64)),IF(NOT(ISNUMBER(Data!AH62)),0,ABS(($F64*100)-(Data!AH62-$I64)*$K64)),ABS(($F64*100)-(Data!AH62-$G64)*$K64))</f>
        <v>99.5293822357481</v>
      </c>
      <c r="AP64" s="64">
        <f>CHOOSE($E64,SUMPRODUCT((AP65:AP$65)*($M65:$M$65)*($C65:AE$65=$B64)),IF(NOT(ISNUMBER(Data!AI62)),0,ABS(($F64*100)-(Data!AI62-$I64)*$K64)),ABS(($F64*100)-(Data!AI62-$G64)*$K64))</f>
        <v>99.658017757977</v>
      </c>
      <c r="AQ64" s="64">
        <f>CHOOSE($E64,SUMPRODUCT((AQ65:AQ$65)*($M65:$M$65)*($C65:AF$65=$B64)),IF(NOT(ISNUMBER(Data!AJ62)),0,ABS(($F64*100)-(Data!AJ62-$I64)*$K64)),ABS(($F64*100)-(Data!AJ62-$G64)*$K64))</f>
        <v>99.6548803062153</v>
      </c>
      <c r="AR64" s="64">
        <f>CHOOSE($E64,SUMPRODUCT((AR65:AR$65)*($M65:$M$65)*($C65:AG$65=$B64)),IF(NOT(ISNUMBER(Data!AK62)),0,ABS(($F64*100)-(Data!AK62-$I64)*$K64)),ABS(($F64*100)-(Data!AK62-$G64)*$K64))</f>
        <v>30.9007624007781</v>
      </c>
      <c r="AS64" s="64">
        <f>CHOOSE($E64,SUMPRODUCT((AS65:AS$65)*($M65:$M$65)*($C65:AH$65=$B64)),IF(NOT(ISNUMBER(Data!AL62)),0,ABS(($F64*100)-(Data!AL62-$I64)*$K64)),ABS(($F64*100)-(Data!AL62-$G64)*$K64))</f>
        <v>49.6501741285728</v>
      </c>
      <c r="AT64" s="64">
        <f>CHOOSE($E64,SUMPRODUCT((AT65:AT$65)*($M65:$M$65)*($C65:AI$65=$B64)),IF(NOT(ISNUMBER(Data!AM62)),0,ABS(($F64*100)-(Data!AM62-$I64)*$K64)),ABS(($F64*100)-(Data!AM62-$G64)*$K64))</f>
        <v>89.2667775232956</v>
      </c>
      <c r="AU64" s="64">
        <f>CHOOSE($E64,SUMPRODUCT((AU65:AU$65)*($M65:$M$65)*($C65:AJ$65=$B64)),IF(NOT(ISNUMBER(Data!AN62)),0,ABS(($F64*100)-(Data!AN62-$I64)*$K64)),ABS(($F64*100)-(Data!AN62-$G64)*$K64))</f>
        <v>96.0367395601293</v>
      </c>
      <c r="AV64" s="64">
        <f>CHOOSE($E64,SUMPRODUCT((AV65:AV$65)*($M65:$M$65)*($C65:AK$65=$B64)),IF(NOT(ISNUMBER(Data!AO62)),0,ABS(($F64*100)-(Data!AO62-$I64)*$K64)),ABS(($F64*100)-(Data!AO62-$G64)*$K64))</f>
        <v>99.658017757977</v>
      </c>
      <c r="AW64" s="64">
        <f>CHOOSE($E64,SUMPRODUCT((AW65:AW$65)*($M65:$M$65)*($C65:AL$65=$B64)),IF(NOT(ISNUMBER(Data!AP62)),0,ABS(($F64*100)-(Data!AP62-$I64)*$K64)),ABS(($F64*100)-(Data!AP62-$G64)*$K64))</f>
        <v>99.990587644715</v>
      </c>
      <c r="AX64" s="64">
        <f>CHOOSE($E64,SUMPRODUCT((AX65:AX$65)*($M65:$M$65)*($C65:AM$65=$B64)),IF(NOT(ISNUMBER(Data!AQ62)),0,ABS(($F64*100)-(Data!AQ62-$I64)*$K64)),ABS(($F64*100)-(Data!AQ62-$G64)*$K64))</f>
        <v>99.8462648636777</v>
      </c>
      <c r="AY64" s="64">
        <f>CHOOSE($E64,SUMPRODUCT((AY65:AY$65)*($M65:$M$65)*($C65:AN$65=$B64)),IF(NOT(ISNUMBER(Data!AR62)),0,ABS(($F64*100)-(Data!AR62-$I64)*$K64)),ABS(($F64*100)-(Data!AR62-$G64)*$K64))</f>
        <v>80.676434599818</v>
      </c>
      <c r="AZ64" s="64">
        <f>CHOOSE($E64,SUMPRODUCT((AZ65:AZ$65)*($M65:$M$65)*($C65:AO$65=$B64)),IF(NOT(ISNUMBER(Data!AS62)),0,ABS(($F64*100)-(Data!AS62-$I64)*$K64)),ABS(($F64*100)-(Data!AS62-$G64)*$K64))</f>
        <v>97.3729175163932</v>
      </c>
      <c r="BA64" s="64">
        <f>CHOOSE($E64,SUMPRODUCT((BA65:BA$65)*($M65:$M$65)*($C65:AP$65=$B64)),IF(NOT(ISNUMBER(Data!AT62)),0,ABS(($F64*100)-(Data!AT62-$I64)*$K64)),ABS(($F64*100)-(Data!AT62-$G64)*$K64))</f>
        <v>65.8802120917391</v>
      </c>
      <c r="BB64" s="64">
        <f>CHOOSE($E64,SUMPRODUCT((BB65:BB$65)*($M65:$M$65)*($C65:AQ$65=$B64)),IF(NOT(ISNUMBER(Data!AU62)),0,ABS(($F64*100)-(Data!AU62-$I64)*$K64)),ABS(($F64*100)-(Data!AU62-$G64)*$K64))</f>
        <v>74.8344994195714</v>
      </c>
      <c r="BC64" s="64">
        <f>CHOOSE($E64,SUMPRODUCT((BC65:BC$65)*($M65:$M$65)*($C65:AR$65=$B64)),IF(NOT(ISNUMBER(Data!AV62)),0,ABS(($F64*100)-(Data!AV62-$I64)*$K64)),ABS(($F64*100)-(Data!AV62-$G64)*$K64))</f>
        <v>99.7113544379255</v>
      </c>
      <c r="BD64" s="64">
        <f>CHOOSE($E64,SUMPRODUCT((BD65:BD$65)*($M65:$M$65)*($C65:AS$65=$B64)),IF(NOT(ISNUMBER(Data!AW62)),0,ABS(($F64*100)-(Data!AW62-$I64)*$K64)),ABS(($F64*100)-(Data!AW62-$G64)*$K64))</f>
        <v>99.667430113262</v>
      </c>
      <c r="BE64" s="64">
        <f>CHOOSE($E64,SUMPRODUCT((BE65:BE$65)*($M65:$M$65)*($C65:AT$65=$B64)),IF(NOT(ISNUMBER(Data!AX62)),0,ABS(($F64*100)-(Data!AX62-$I64)*$K64)),ABS(($F64*100)-(Data!AX62-$G64)*$K64))</f>
        <v>97.7347598280676</v>
      </c>
      <c r="BF64" s="64">
        <f>CHOOSE($E64,SUMPRODUCT((BF65:BF$65)*($M65:$M$65)*($C65:AU$65=$B64)),IF(NOT(ISNUMBER(Data!AY62)),0,ABS(($F64*100)-(Data!AY62-$I64)*$K64)),ABS(($F64*100)-(Data!AY62-$G64)*$K64))</f>
        <v>98.8328679446553</v>
      </c>
      <c r="BG64" s="64">
        <f>CHOOSE($E64,SUMPRODUCT((BG65:BG$65)*($M65:$M$65)*($C65:AV$65=$B64)),IF(NOT(ISNUMBER(Data!AZ62)),0,ABS(($F64*100)-(Data!AZ62-$I64)*$K64)),ABS(($F64*100)-(Data!AZ62-$G64)*$K64))</f>
        <v>82.925987512942</v>
      </c>
      <c r="BH64" s="64">
        <f>CHOOSE($E64,SUMPRODUCT((BH65:BH$65)*($M65:$M$65)*($C65:AW$65=$B64)),IF(NOT(ISNUMBER(Data!BA62)),0,ABS(($F64*100)-(Data!BA62-$I64)*$K64)),ABS(($F64*100)-(Data!BA62-$G64)*$K64))</f>
        <v>96.0154362626675</v>
      </c>
      <c r="BI64" s="64">
        <f>CHOOSE($E64,SUMPRODUCT((BI65:BI$65)*($M65:$M$65)*($C65:AX$65=$B64)),IF(NOT(ISNUMBER(Data!BB62)),0,ABS(($F64*100)-(Data!BB62-$I64)*$K64)),ABS(($F64*100)-(Data!BB62-$G64)*$K64))</f>
        <v>98.2461644652213</v>
      </c>
      <c r="BJ64" s="64">
        <f>CHOOSE($E64,SUMPRODUCT((BJ65:BJ$65)*($M65:$M$65)*($C65:AY$65=$B64)),IF(NOT(ISNUMBER(Data!BC62)),0,ABS(($F64*100)-(Data!BC62-$I64)*$K64)),ABS(($F64*100)-(Data!BC62-$G64)*$K64))</f>
        <v>95.3691211997616</v>
      </c>
      <c r="BK64" s="64">
        <f>CHOOSE($E64,SUMPRODUCT((BK65:BK$65)*($M65:$M$65)*($C65:AZ$65=$B64)),IF(NOT(ISNUMBER(Data!BD62)),0,ABS(($F64*100)-(Data!BD62-$I64)*$K64)),ABS(($F64*100)-(Data!BD62-$G64)*$K64))</f>
        <v>100</v>
      </c>
      <c r="BM64" s="65"/>
    </row>
    <row r="65" spans="1:65">
      <c r="A65" s="24"/>
      <c r="B65" s="24" t="str">
        <f>tblIndicators!B58</f>
        <v>PERSAF_OP_09</v>
      </c>
      <c r="C65" s="24" t="str">
        <f>tblIndicators!C58</f>
        <v>PERSAF_OP</v>
      </c>
      <c r="D65" s="52">
        <f>tblIndicators!D58</f>
        <v>3</v>
      </c>
      <c r="E65" s="52">
        <f>tblIndicators!M58</f>
        <v>3</v>
      </c>
      <c r="F65" s="52">
        <f>tblIndicators!N58</f>
        <v>0</v>
      </c>
      <c r="G65" s="52">
        <f>tblIndicators!Q58</f>
        <v>0</v>
      </c>
      <c r="H65" s="52">
        <f>tblIndicators!R58</f>
        <v>100</v>
      </c>
      <c r="I65" s="52" t="str">
        <f>IF($E65=2,MIN(Data!G63:BD63),"")</f>
        <v/>
      </c>
      <c r="J65" s="52" t="str">
        <f>IF($E65=2,MAX(Data!G63:BD63),"")</f>
        <v/>
      </c>
      <c r="K65" s="54">
        <f t="shared" si="3"/>
        <v>1</v>
      </c>
      <c r="L65" s="62" t="str">
        <f>tblIndicators!Z58</f>
        <v>4.2.8) Perceptions of safety</v>
      </c>
      <c r="M65" s="63">
        <f>tblIndicators!AC58</f>
        <v>0.125</v>
      </c>
      <c r="N65" s="64">
        <f>CHOOSE($E65,SUMPRODUCT((N$65:N66)*($M$65:$M66)*($C$65:C66=$B65)),IF(NOT(ISNUMBER(Data!G63)),0,ABS(($F65*100)-(Data!G63-$I65)*$K65)),ABS(($F65*100)-(Data!G63-$G65)*$K65))</f>
        <v>77.9</v>
      </c>
      <c r="O65" s="64">
        <f>CHOOSE($E65,SUMPRODUCT((O$65:O66)*($M$65:$M66)*($C$65:D66=$B65)),IF(NOT(ISNUMBER(Data!H63)),0,ABS(($F65*100)-(Data!H63-$I65)*$K65)),ABS(($F65*100)-(Data!H63-$G65)*$K65))</f>
        <v>17.44</v>
      </c>
      <c r="P65" s="64">
        <f>CHOOSE($E65,SUMPRODUCT((P$65:P66)*($M$65:$M66)*($C$65:E66=$B65)),IF(NOT(ISNUMBER(Data!I63)),0,ABS(($F65*100)-(Data!I63-$I65)*$K65)),ABS(($F65*100)-(Data!I63-$G65)*$K65))</f>
        <v>38.49</v>
      </c>
      <c r="Q65" s="64">
        <f>CHOOSE($E65,SUMPRODUCT((Q$65:Q66)*($M$65:$M66)*($C$65:F66=$B65)),IF(NOT(ISNUMBER(Data!J63)),0,ABS(($F65*100)-(Data!J63-$I65)*$K65)),ABS(($F65*100)-(Data!J63-$G65)*$K65))</f>
        <v>24.86</v>
      </c>
      <c r="R65" s="64">
        <f>CHOOSE($E65,SUMPRODUCT((R$65:R66)*($M$65:$M66)*($C$65:G66=$B65)),IF(NOT(ISNUMBER(Data!K63)),0,ABS(($F65*100)-(Data!K63-$I65)*$K65)),ABS(($F65*100)-(Data!K63-$G65)*$K65))</f>
        <v>25.32</v>
      </c>
      <c r="S65" s="64">
        <f>CHOOSE($E65,SUMPRODUCT((S$65:S66)*($M$65:$M66)*($C$65:H66=$B65)),IF(NOT(ISNUMBER(Data!L63)),0,ABS(($F65*100)-(Data!L63-$I65)*$K65)),ABS(($F65*100)-(Data!L63-$G65)*$K65))</f>
        <v>48.22</v>
      </c>
      <c r="T65" s="64">
        <f>CHOOSE($E65,SUMPRODUCT((T$65:T66)*($M$65:$M66)*($C$65:I66=$B65)),IF(NOT(ISNUMBER(Data!M63)),0,ABS(($F65*100)-(Data!M63-$I65)*$K65)),ABS(($F65*100)-(Data!M63-$G65)*$K65))</f>
        <v>58.25</v>
      </c>
      <c r="U65" s="64">
        <f>CHOOSE($E65,SUMPRODUCT((U$65:U66)*($M$65:$M66)*($C$65:J66=$B65)),IF(NOT(ISNUMBER(Data!N63)),0,ABS(($F65*100)-(Data!N63-$I65)*$K65)),ABS(($F65*100)-(Data!N63-$G65)*$K65))</f>
        <v>68.46</v>
      </c>
      <c r="V65" s="64">
        <f>CHOOSE($E65,SUMPRODUCT((V$65:V66)*($M$65:$M66)*($C$65:K66=$B65)),IF(NOT(ISNUMBER(Data!O63)),0,ABS(($F65*100)-(Data!O63-$I65)*$K65)),ABS(($F65*100)-(Data!O63-$G65)*$K65))</f>
        <v>61.79</v>
      </c>
      <c r="W65" s="64">
        <f>CHOOSE($E65,SUMPRODUCT((W$65:W66)*($M$65:$M66)*($C$65:L66=$B65)),IF(NOT(ISNUMBER(Data!P63)),0,ABS(($F65*100)-(Data!P63-$I65)*$K65)),ABS(($F65*100)-(Data!P63-$G65)*$K65))</f>
        <v>39.99</v>
      </c>
      <c r="X65" s="64">
        <f>CHOOSE($E65,SUMPRODUCT((X$65:X66)*($M$65:$M66)*($C$65:M66=$B65)),IF(NOT(ISNUMBER(Data!Q63)),0,ABS(($F65*100)-(Data!Q63-$I65)*$K65)),ABS(($F65*100)-(Data!Q63-$G65)*$K65))</f>
        <v>37.99</v>
      </c>
      <c r="Y65" s="64">
        <f>CHOOSE($E65,SUMPRODUCT((Y$65:Y66)*($M$65:$M66)*($C$65:N66=$B65)),IF(NOT(ISNUMBER(Data!R63)),0,ABS(($F65*100)-(Data!R63-$I65)*$K65)),ABS(($F65*100)-(Data!R63-$G65)*$K65))</f>
        <v>30.42</v>
      </c>
      <c r="Z65" s="64">
        <f>CHOOSE($E65,SUMPRODUCT((Z$65:Z66)*($M$65:$M66)*($C$65:O66=$B65)),IF(NOT(ISNUMBER(Data!S63)),0,ABS(($F65*100)-(Data!S63-$I65)*$K65)),ABS(($F65*100)-(Data!S63-$G65)*$K65))</f>
        <v>52.54</v>
      </c>
      <c r="AA65" s="64">
        <f>CHOOSE($E65,SUMPRODUCT((AA$65:AA66)*($M$65:$M66)*($C$65:P66=$B65)),IF(NOT(ISNUMBER(Data!T63)),0,ABS(($F65*100)-(Data!T63-$I65)*$K65)),ABS(($F65*100)-(Data!T63-$G65)*$K65))</f>
        <v>52.53</v>
      </c>
      <c r="AB65" s="64">
        <f>CHOOSE($E65,SUMPRODUCT((AB$65:AB66)*($M$65:$M66)*($C$65:Q66=$B65)),IF(NOT(ISNUMBER(Data!U63)),0,ABS(($F65*100)-(Data!U63-$I65)*$K65)),ABS(($F65*100)-(Data!U63-$G65)*$K65))</f>
        <v>41.1</v>
      </c>
      <c r="AC65" s="64">
        <f>CHOOSE($E65,SUMPRODUCT((AC$65:AC66)*($M$65:$M66)*($C$65:R66=$B65)),IF(NOT(ISNUMBER(Data!V63)),0,ABS(($F65*100)-(Data!V63-$I65)*$K65)),ABS(($F65*100)-(Data!V63-$G65)*$K65))</f>
        <v>58.72</v>
      </c>
      <c r="AD65" s="64">
        <f>CHOOSE($E65,SUMPRODUCT((AD$65:AD66)*($M$65:$M66)*($C$65:S66=$B65)),IF(NOT(ISNUMBER(Data!W63)),0,ABS(($F65*100)-(Data!W63-$I65)*$K65)),ABS(($F65*100)-(Data!W63-$G65)*$K65))</f>
        <v>57.47</v>
      </c>
      <c r="AE65" s="64">
        <f>CHOOSE($E65,SUMPRODUCT((AE$65:AE66)*($M$65:$M66)*($C$65:T66=$B65)),IF(NOT(ISNUMBER(Data!X63)),0,ABS(($F65*100)-(Data!X63-$I65)*$K65)),ABS(($F65*100)-(Data!X63-$G65)*$K65))</f>
        <v>83.88</v>
      </c>
      <c r="AF65" s="64">
        <f>CHOOSE($E65,SUMPRODUCT((AF$65:AF66)*($M$65:$M66)*($C$65:U66=$B65)),IF(NOT(ISNUMBER(Data!Y63)),0,ABS(($F65*100)-(Data!Y63-$I65)*$K65)),ABS(($F65*100)-(Data!Y63-$G65)*$K65))</f>
        <v>58.3</v>
      </c>
      <c r="AG65" s="64">
        <f>CHOOSE($E65,SUMPRODUCT((AG$65:AG66)*($M$65:$M66)*($C$65:V66=$B65)),IF(NOT(ISNUMBER(Data!Z63)),0,ABS(($F65*100)-(Data!Z63-$I65)*$K65)),ABS(($F65*100)-(Data!Z63-$G65)*$K65))</f>
        <v>77.75</v>
      </c>
      <c r="AH65" s="64">
        <f>CHOOSE($E65,SUMPRODUCT((AH$65:AH66)*($M$65:$M66)*($C$65:W66=$B65)),IF(NOT(ISNUMBER(Data!AA63)),0,ABS(($F65*100)-(Data!AA63-$I65)*$K65)),ABS(($F65*100)-(Data!AA63-$G65)*$K65))</f>
        <v>77.12</v>
      </c>
      <c r="AI65" s="64">
        <f>CHOOSE($E65,SUMPRODUCT((AI$65:AI66)*($M$65:$M66)*($C$65:X66=$B65)),IF(NOT(ISNUMBER(Data!AB63)),0,ABS(($F65*100)-(Data!AB63-$I65)*$K65)),ABS(($F65*100)-(Data!AB63-$G65)*$K65))</f>
        <v>59.38</v>
      </c>
      <c r="AJ65" s="64">
        <f>CHOOSE($E65,SUMPRODUCT((AJ$65:AJ66)*($M$65:$M66)*($C$65:Y66=$B65)),IF(NOT(ISNUMBER(Data!AC63)),0,ABS(($F65*100)-(Data!AC63-$I65)*$K65)),ABS(($F65*100)-(Data!AC63-$G65)*$K65))</f>
        <v>58.85</v>
      </c>
      <c r="AK65" s="64">
        <f>CHOOSE($E65,SUMPRODUCT((AK$65:AK66)*($M$65:$M66)*($C$65:Z66=$B65)),IF(NOT(ISNUMBER(Data!AD63)),0,ABS(($F65*100)-(Data!AD63-$I65)*$K65)),ABS(($F65*100)-(Data!AD63-$G65)*$K65))</f>
        <v>51.04</v>
      </c>
      <c r="AL65" s="64">
        <f>CHOOSE($E65,SUMPRODUCT((AL$65:AL66)*($M$65:$M66)*($C$65:AA66=$B65)),IF(NOT(ISNUMBER(Data!AE63)),0,ABS(($F65*100)-(Data!AE63-$I65)*$K65)),ABS(($F65*100)-(Data!AE63-$G65)*$K65))</f>
        <v>41.41</v>
      </c>
      <c r="AM65" s="64">
        <f>CHOOSE($E65,SUMPRODUCT((AM$65:AM66)*($M$65:$M66)*($C$65:AB66=$B65)),IF(NOT(ISNUMBER(Data!AF63)),0,ABS(($F65*100)-(Data!AF63-$I65)*$K65)),ABS(($F65*100)-(Data!AF63-$G65)*$K65))</f>
        <v>52.19</v>
      </c>
      <c r="AN65" s="64">
        <f>CHOOSE($E65,SUMPRODUCT((AN$65:AN66)*($M$65:$M66)*($C$65:AC66=$B65)),IF(NOT(ISNUMBER(Data!AG63)),0,ABS(($F65*100)-(Data!AG63-$I65)*$K65)),ABS(($F65*100)-(Data!AG63-$G65)*$K65))</f>
        <v>43.73</v>
      </c>
      <c r="AO65" s="64">
        <f>CHOOSE($E65,SUMPRODUCT((AO$65:AO66)*($M$65:$M66)*($C$65:AD66=$B65)),IF(NOT(ISNUMBER(Data!AH63)),0,ABS(($F65*100)-(Data!AH63-$I65)*$K65)),ABS(($F65*100)-(Data!AH63-$G65)*$K65))</f>
        <v>80.92</v>
      </c>
      <c r="AP65" s="64">
        <f>CHOOSE($E65,SUMPRODUCT((AP$65:AP66)*($M$65:$M66)*($C$65:AE66=$B65)),IF(NOT(ISNUMBER(Data!AI63)),0,ABS(($F65*100)-(Data!AI63-$I65)*$K65)),ABS(($F65*100)-(Data!AI63-$G65)*$K65))</f>
        <v>95.03</v>
      </c>
      <c r="AQ65" s="64">
        <f>CHOOSE($E65,SUMPRODUCT((AQ$65:AQ66)*($M$65:$M66)*($C$65:AF66=$B65)),IF(NOT(ISNUMBER(Data!AJ63)),0,ABS(($F65*100)-(Data!AJ63-$I65)*$K65)),ABS(($F65*100)-(Data!AJ63-$G65)*$K65))</f>
        <v>81.98</v>
      </c>
      <c r="AR65" s="64">
        <f>CHOOSE($E65,SUMPRODUCT((AR$65:AR66)*($M$65:$M66)*($C$65:AG66=$B65)),IF(NOT(ISNUMBER(Data!AK63)),0,ABS(($F65*100)-(Data!AK63-$I65)*$K65)),ABS(($F65*100)-(Data!AK63-$G65)*$K65))</f>
        <v>80.5</v>
      </c>
      <c r="AS65" s="64">
        <f>CHOOSE($E65,SUMPRODUCT((AS$65:AS66)*($M$65:$M66)*($C$65:AH66=$B65)),IF(NOT(ISNUMBER(Data!AL63)),0,ABS(($F65*100)-(Data!AL63-$I65)*$K65)),ABS(($F65*100)-(Data!AL63-$G65)*$K65))</f>
        <v>79.1</v>
      </c>
      <c r="AT65" s="64">
        <f>CHOOSE($E65,SUMPRODUCT((AT$65:AT66)*($M$65:$M66)*($C$65:AI66=$B65)),IF(NOT(ISNUMBER(Data!AM63)),0,ABS(($F65*100)-(Data!AM63-$I65)*$K65)),ABS(($F65*100)-(Data!AM63-$G65)*$K65))</f>
        <v>63.85</v>
      </c>
      <c r="AU65" s="64">
        <f>CHOOSE($E65,SUMPRODUCT((AU$65:AU66)*($M$65:$M66)*($C$65:AJ66=$B65)),IF(NOT(ISNUMBER(Data!AN63)),0,ABS(($F65*100)-(Data!AN63-$I65)*$K65)),ABS(($F65*100)-(Data!AN63-$G65)*$K65))</f>
        <v>52.23</v>
      </c>
      <c r="AV65" s="64">
        <f>CHOOSE($E65,SUMPRODUCT((AV$65:AV66)*($M$65:$M66)*($C$65:AK66=$B65)),IF(NOT(ISNUMBER(Data!AO63)),0,ABS(($F65*100)-(Data!AO63-$I65)*$K65)),ABS(($F65*100)-(Data!AO63-$G65)*$K65))</f>
        <v>57.02</v>
      </c>
      <c r="AW65" s="64">
        <f>CHOOSE($E65,SUMPRODUCT((AW$65:AW66)*($M$65:$M66)*($C$65:AL66=$B65)),IF(NOT(ISNUMBER(Data!AP63)),0,ABS(($F65*100)-(Data!AP63-$I65)*$K65)),ABS(($F65*100)-(Data!AP63-$G65)*$K65))</f>
        <v>78.09</v>
      </c>
      <c r="AX65" s="64">
        <f>CHOOSE($E65,SUMPRODUCT((AX$65:AX66)*($M$65:$M66)*($C$65:AM66=$B65)),IF(NOT(ISNUMBER(Data!AQ63)),0,ABS(($F65*100)-(Data!AQ63-$I65)*$K65)),ABS(($F65*100)-(Data!AQ63-$G65)*$K65))</f>
        <v>73.83</v>
      </c>
      <c r="AY65" s="64">
        <f>CHOOSE($E65,SUMPRODUCT((AY$65:AY66)*($M$65:$M66)*($C$65:AN66=$B65)),IF(NOT(ISNUMBER(Data!AR63)),0,ABS(($F65*100)-(Data!AR63-$I65)*$K65)),ABS(($F65*100)-(Data!AR63-$G65)*$K65))</f>
        <v>86.02</v>
      </c>
      <c r="AZ65" s="64">
        <f>CHOOSE($E65,SUMPRODUCT((AZ$65:AZ66)*($M$65:$M66)*($C$65:AO66=$B65)),IF(NOT(ISNUMBER(Data!AS63)),0,ABS(($F65*100)-(Data!AS63-$I65)*$K65)),ABS(($F65*100)-(Data!AS63-$G65)*$K65))</f>
        <v>46.19</v>
      </c>
      <c r="BA65" s="64">
        <f>CHOOSE($E65,SUMPRODUCT((BA$65:BA66)*($M$65:$M66)*($C$65:AP66=$B65)),IF(NOT(ISNUMBER(Data!AT63)),0,ABS(($F65*100)-(Data!AT63-$I65)*$K65)),ABS(($F65*100)-(Data!AT63-$G65)*$K65))</f>
        <v>43.88</v>
      </c>
      <c r="BB65" s="64">
        <f>CHOOSE($E65,SUMPRODUCT((BB$65:BB66)*($M$65:$M66)*($C$65:AQ66=$B65)),IF(NOT(ISNUMBER(Data!AU63)),0,ABS(($F65*100)-(Data!AU63-$I65)*$K65)),ABS(($F65*100)-(Data!AU63-$G65)*$K65))</f>
        <v>73.06</v>
      </c>
      <c r="BC65" s="64">
        <f>CHOOSE($E65,SUMPRODUCT((BC$65:BC66)*($M$65:$M66)*($C$65:AR66=$B65)),IF(NOT(ISNUMBER(Data!AV63)),0,ABS(($F65*100)-(Data!AV63-$I65)*$K65)),ABS(($F65*100)-(Data!AV63-$G65)*$K65))</f>
        <v>29.69</v>
      </c>
      <c r="BD65" s="64">
        <f>CHOOSE($E65,SUMPRODUCT((BD$65:BD66)*($M$65:$M66)*($C$65:AS66=$B65)),IF(NOT(ISNUMBER(Data!AW63)),0,ABS(($F65*100)-(Data!AW63-$I65)*$K65)),ABS(($F65*100)-(Data!AW63-$G65)*$K65))</f>
        <v>46.95</v>
      </c>
      <c r="BE65" s="64">
        <f>CHOOSE($E65,SUMPRODUCT((BE$65:BE66)*($M$65:$M66)*($C$65:AT66=$B65)),IF(NOT(ISNUMBER(Data!AX63)),0,ABS(($F65*100)-(Data!AX63-$I65)*$K65)),ABS(($F65*100)-(Data!AX63-$G65)*$K65))</f>
        <v>68.41</v>
      </c>
      <c r="BF65" s="64">
        <f>CHOOSE($E65,SUMPRODUCT((BF$65:BF66)*($M$65:$M66)*($C$65:AU66=$B65)),IF(NOT(ISNUMBER(Data!AY63)),0,ABS(($F65*100)-(Data!AY63-$I65)*$K65)),ABS(($F65*100)-(Data!AY63-$G65)*$K65))</f>
        <v>46.01</v>
      </c>
      <c r="BG65" s="64">
        <f>CHOOSE($E65,SUMPRODUCT((BG$65:BG66)*($M$65:$M66)*($C$65:AV66=$B65)),IF(NOT(ISNUMBER(Data!AZ63)),0,ABS(($F65*100)-(Data!AZ63-$I65)*$K65)),ABS(($F65*100)-(Data!AZ63-$G65)*$K65))</f>
        <v>62.89</v>
      </c>
      <c r="BH65" s="64">
        <f>CHOOSE($E65,SUMPRODUCT((BH$65:BH66)*($M$65:$M66)*($C$65:AW66=$B65)),IF(NOT(ISNUMBER(Data!BA63)),0,ABS(($F65*100)-(Data!BA63-$I65)*$K65)),ABS(($F65*100)-(Data!BA63-$G65)*$K65))</f>
        <v>58.33</v>
      </c>
      <c r="BI65" s="64">
        <f>CHOOSE($E65,SUMPRODUCT((BI$65:BI66)*($M$65:$M66)*($C$65:AX66=$B65)),IF(NOT(ISNUMBER(Data!BB63)),0,ABS(($F65*100)-(Data!BB63-$I65)*$K65)),ABS(($F65*100)-(Data!BB63-$G65)*$K65))</f>
        <v>79.39</v>
      </c>
      <c r="BJ65" s="64">
        <f>CHOOSE($E65,SUMPRODUCT((BJ$65:BJ66)*($M$65:$M66)*($C$65:AY66=$B65)),IF(NOT(ISNUMBER(Data!BC63)),0,ABS(($F65*100)-(Data!BC63-$I65)*$K65)),ABS(($F65*100)-(Data!BC63-$G65)*$K65))</f>
        <v>59.86</v>
      </c>
      <c r="BK65" s="64">
        <f>CHOOSE($E65,SUMPRODUCT((BK$65:BK66)*($M$65:$M66)*($C$65:AZ66=$B65)),IF(NOT(ISNUMBER(Data!BD63)),0,ABS(($F65*100)-(Data!BD63-$I65)*$K65)),ABS(($F65*100)-(Data!BD63-$G65)*$K65))</f>
        <v>52.62</v>
      </c>
      <c r="BM65" s="65"/>
    </row>
    <row r="67" spans="14:37">
      <c r="N67" s="65"/>
      <c r="O67" s="65"/>
      <c r="P67" s="65"/>
      <c r="Q67" s="65"/>
      <c r="R67" s="65"/>
      <c r="S67" s="65"/>
      <c r="T67" s="65"/>
      <c r="U67" s="65"/>
      <c r="V67" s="65"/>
      <c r="W67" s="65"/>
      <c r="X67" s="65"/>
      <c r="Y67" s="65"/>
      <c r="Z67" s="65"/>
      <c r="AA67" s="65"/>
      <c r="AB67" s="65"/>
      <c r="AC67" s="65"/>
      <c r="AD67" s="65"/>
      <c r="AE67" s="65"/>
      <c r="AF67" s="65"/>
      <c r="AG67" s="65"/>
      <c r="AH67" s="65"/>
      <c r="AI67" s="65"/>
      <c r="AJ67" s="65"/>
      <c r="AK67" s="65"/>
    </row>
    <row r="68" spans="14:37">
      <c r="N68" s="65"/>
      <c r="O68" s="65"/>
      <c r="P68" s="65"/>
      <c r="Q68" s="65"/>
      <c r="R68" s="65"/>
      <c r="S68" s="65"/>
      <c r="T68" s="65"/>
      <c r="U68" s="65"/>
      <c r="V68" s="65"/>
      <c r="W68" s="65"/>
      <c r="X68" s="65"/>
      <c r="Y68" s="65"/>
      <c r="Z68" s="65"/>
      <c r="AA68" s="65"/>
      <c r="AB68" s="65"/>
      <c r="AC68" s="65"/>
      <c r="AD68" s="65"/>
      <c r="AE68" s="65"/>
      <c r="AF68" s="65"/>
      <c r="AG68" s="65"/>
      <c r="AH68" s="65"/>
      <c r="AI68" s="65"/>
      <c r="AJ68" s="65"/>
      <c r="AK68" s="65"/>
    </row>
    <row r="69" spans="14:37">
      <c r="N69" s="65"/>
      <c r="O69" s="65"/>
      <c r="P69" s="65"/>
      <c r="Q69" s="65"/>
      <c r="R69" s="65"/>
      <c r="S69" s="65"/>
      <c r="T69" s="65"/>
      <c r="U69" s="65"/>
      <c r="V69" s="65"/>
      <c r="W69" s="65"/>
      <c r="X69" s="65"/>
      <c r="Y69" s="65"/>
      <c r="Z69" s="65"/>
      <c r="AA69" s="65"/>
      <c r="AB69" s="65"/>
      <c r="AC69" s="65"/>
      <c r="AD69" s="65"/>
      <c r="AE69" s="65"/>
      <c r="AF69" s="65"/>
      <c r="AG69" s="65"/>
      <c r="AH69" s="65"/>
      <c r="AI69" s="65"/>
      <c r="AJ69" s="65"/>
      <c r="AK69" s="65"/>
    </row>
    <row r="70" spans="14:37">
      <c r="N70" s="65"/>
      <c r="O70" s="65"/>
      <c r="P70" s="65"/>
      <c r="Q70" s="65"/>
      <c r="R70" s="65"/>
      <c r="S70" s="65"/>
      <c r="T70" s="65"/>
      <c r="U70" s="65"/>
      <c r="V70" s="65"/>
      <c r="W70" s="65"/>
      <c r="X70" s="65"/>
      <c r="Y70" s="65"/>
      <c r="Z70" s="65"/>
      <c r="AA70" s="65"/>
      <c r="AB70" s="65"/>
      <c r="AC70" s="65"/>
      <c r="AD70" s="65"/>
      <c r="AE70" s="65"/>
      <c r="AF70" s="65"/>
      <c r="AG70" s="65"/>
      <c r="AH70" s="65"/>
      <c r="AI70" s="65"/>
      <c r="AJ70" s="65"/>
      <c r="AK70" s="65"/>
    </row>
    <row r="71" spans="14:37">
      <c r="N71" s="65"/>
      <c r="O71" s="65"/>
      <c r="P71" s="65"/>
      <c r="Q71" s="65"/>
      <c r="R71" s="65"/>
      <c r="S71" s="65"/>
      <c r="T71" s="65"/>
      <c r="U71" s="65"/>
      <c r="V71" s="65"/>
      <c r="W71" s="65"/>
      <c r="X71" s="65"/>
      <c r="Y71" s="65"/>
      <c r="Z71" s="65"/>
      <c r="AA71" s="65"/>
      <c r="AB71" s="65"/>
      <c r="AC71" s="65"/>
      <c r="AD71" s="65"/>
      <c r="AE71" s="65"/>
      <c r="AF71" s="65"/>
      <c r="AG71" s="65"/>
      <c r="AH71" s="65"/>
      <c r="AI71" s="65"/>
      <c r="AJ71" s="65"/>
      <c r="AK71" s="65"/>
    </row>
    <row r="72" spans="14:37">
      <c r="N72" s="65"/>
      <c r="O72" s="65"/>
      <c r="P72" s="65"/>
      <c r="Q72" s="65"/>
      <c r="R72" s="65"/>
      <c r="S72" s="65"/>
      <c r="T72" s="65"/>
      <c r="U72" s="65"/>
      <c r="V72" s="65"/>
      <c r="W72" s="65"/>
      <c r="X72" s="65"/>
      <c r="Y72" s="65"/>
      <c r="Z72" s="65"/>
      <c r="AA72" s="65"/>
      <c r="AB72" s="65"/>
      <c r="AC72" s="65"/>
      <c r="AD72" s="65"/>
      <c r="AE72" s="65"/>
      <c r="AF72" s="65"/>
      <c r="AG72" s="65"/>
      <c r="AH72" s="65"/>
      <c r="AI72" s="65"/>
      <c r="AJ72" s="65"/>
      <c r="AK72" s="65"/>
    </row>
    <row r="73" spans="14:37">
      <c r="N73" s="65"/>
      <c r="O73" s="65"/>
      <c r="P73" s="65"/>
      <c r="Q73" s="65"/>
      <c r="R73" s="65"/>
      <c r="S73" s="65"/>
      <c r="T73" s="65"/>
      <c r="U73" s="65"/>
      <c r="V73" s="65"/>
      <c r="W73" s="65"/>
      <c r="X73" s="65"/>
      <c r="Y73" s="65"/>
      <c r="Z73" s="65"/>
      <c r="AA73" s="65"/>
      <c r="AB73" s="65"/>
      <c r="AC73" s="65"/>
      <c r="AD73" s="65"/>
      <c r="AE73" s="65"/>
      <c r="AF73" s="65"/>
      <c r="AG73" s="65"/>
      <c r="AH73" s="65"/>
      <c r="AI73" s="65"/>
      <c r="AJ73" s="65"/>
      <c r="AK73" s="65"/>
    </row>
    <row r="74" spans="14:37">
      <c r="N74" s="65"/>
      <c r="O74" s="65"/>
      <c r="P74" s="65"/>
      <c r="Q74" s="65"/>
      <c r="R74" s="65"/>
      <c r="S74" s="65"/>
      <c r="T74" s="65"/>
      <c r="U74" s="65"/>
      <c r="V74" s="65"/>
      <c r="W74" s="65"/>
      <c r="X74" s="65"/>
      <c r="Y74" s="65"/>
      <c r="Z74" s="65"/>
      <c r="AA74" s="65"/>
      <c r="AB74" s="65"/>
      <c r="AC74" s="65"/>
      <c r="AD74" s="65"/>
      <c r="AE74" s="65"/>
      <c r="AF74" s="65"/>
      <c r="AG74" s="65"/>
      <c r="AH74" s="65"/>
      <c r="AI74" s="65"/>
      <c r="AJ74" s="65"/>
      <c r="AK74" s="65"/>
    </row>
    <row r="75" spans="14:37">
      <c r="N75" s="65"/>
      <c r="O75" s="65"/>
      <c r="P75" s="65"/>
      <c r="Q75" s="65"/>
      <c r="R75" s="65"/>
      <c r="S75" s="65"/>
      <c r="T75" s="65"/>
      <c r="U75" s="65"/>
      <c r="V75" s="65"/>
      <c r="W75" s="65"/>
      <c r="X75" s="65"/>
      <c r="Y75" s="65"/>
      <c r="Z75" s="65"/>
      <c r="AA75" s="65"/>
      <c r="AB75" s="65"/>
      <c r="AC75" s="65"/>
      <c r="AD75" s="65"/>
      <c r="AE75" s="65"/>
      <c r="AF75" s="65"/>
      <c r="AG75" s="65"/>
      <c r="AH75" s="65"/>
      <c r="AI75" s="65"/>
      <c r="AJ75" s="65"/>
      <c r="AK75" s="65"/>
    </row>
    <row r="76" spans="14:37">
      <c r="N76" s="65"/>
      <c r="O76" s="65"/>
      <c r="P76" s="65"/>
      <c r="Q76" s="65"/>
      <c r="R76" s="65"/>
      <c r="S76" s="65"/>
      <c r="T76" s="65"/>
      <c r="U76" s="65"/>
      <c r="V76" s="65"/>
      <c r="W76" s="65"/>
      <c r="X76" s="65"/>
      <c r="Y76" s="65"/>
      <c r="Z76" s="65"/>
      <c r="AA76" s="65"/>
      <c r="AB76" s="65"/>
      <c r="AC76" s="65"/>
      <c r="AD76" s="65"/>
      <c r="AE76" s="65"/>
      <c r="AF76" s="65"/>
      <c r="AG76" s="65"/>
      <c r="AH76" s="65"/>
      <c r="AI76" s="65"/>
      <c r="AJ76" s="65"/>
      <c r="AK76" s="65"/>
    </row>
    <row r="77" spans="14:37">
      <c r="N77" s="65"/>
      <c r="O77" s="65"/>
      <c r="P77" s="65"/>
      <c r="Q77" s="65"/>
      <c r="R77" s="65"/>
      <c r="S77" s="65"/>
      <c r="T77" s="65"/>
      <c r="U77" s="65"/>
      <c r="V77" s="65"/>
      <c r="W77" s="65"/>
      <c r="X77" s="65"/>
      <c r="Y77" s="65"/>
      <c r="Z77" s="65"/>
      <c r="AA77" s="65"/>
      <c r="AB77" s="65"/>
      <c r="AC77" s="65"/>
      <c r="AD77" s="65"/>
      <c r="AE77" s="65"/>
      <c r="AF77" s="65"/>
      <c r="AG77" s="65"/>
      <c r="AH77" s="65"/>
      <c r="AI77" s="65"/>
      <c r="AJ77" s="65"/>
      <c r="AK77" s="65"/>
    </row>
    <row r="78" spans="14:37">
      <c r="N78" s="65"/>
      <c r="O78" s="65"/>
      <c r="P78" s="65"/>
      <c r="Q78" s="65"/>
      <c r="R78" s="65"/>
      <c r="S78" s="65"/>
      <c r="T78" s="65"/>
      <c r="U78" s="65"/>
      <c r="V78" s="65"/>
      <c r="W78" s="65"/>
      <c r="X78" s="65"/>
      <c r="Y78" s="65"/>
      <c r="Z78" s="65"/>
      <c r="AA78" s="65"/>
      <c r="AB78" s="65"/>
      <c r="AC78" s="65"/>
      <c r="AD78" s="65"/>
      <c r="AE78" s="65"/>
      <c r="AF78" s="65"/>
      <c r="AG78" s="65"/>
      <c r="AH78" s="65"/>
      <c r="AI78" s="65"/>
      <c r="AJ78" s="65"/>
      <c r="AK78" s="65"/>
    </row>
    <row r="79" spans="14:37">
      <c r="N79" s="65"/>
      <c r="O79" s="65"/>
      <c r="P79" s="65"/>
      <c r="Q79" s="65"/>
      <c r="R79" s="65"/>
      <c r="S79" s="65"/>
      <c r="T79" s="65"/>
      <c r="U79" s="65"/>
      <c r="V79" s="65"/>
      <c r="W79" s="65"/>
      <c r="X79" s="65"/>
      <c r="Y79" s="65"/>
      <c r="Z79" s="65"/>
      <c r="AA79" s="65"/>
      <c r="AB79" s="65"/>
      <c r="AC79" s="65"/>
      <c r="AD79" s="65"/>
      <c r="AE79" s="65"/>
      <c r="AF79" s="65"/>
      <c r="AG79" s="65"/>
      <c r="AH79" s="65"/>
      <c r="AI79" s="65"/>
      <c r="AJ79" s="65"/>
      <c r="AK79" s="65"/>
    </row>
    <row r="80" spans="14:37">
      <c r="N80" s="65"/>
      <c r="O80" s="65"/>
      <c r="P80" s="65"/>
      <c r="Q80" s="65"/>
      <c r="R80" s="65"/>
      <c r="S80" s="65"/>
      <c r="T80" s="65"/>
      <c r="U80" s="65"/>
      <c r="V80" s="65"/>
      <c r="W80" s="65"/>
      <c r="X80" s="65"/>
      <c r="Y80" s="65"/>
      <c r="Z80" s="65"/>
      <c r="AA80" s="65"/>
      <c r="AB80" s="65"/>
      <c r="AC80" s="65"/>
      <c r="AD80" s="65"/>
      <c r="AE80" s="65"/>
      <c r="AF80" s="65"/>
      <c r="AG80" s="65"/>
      <c r="AH80" s="65"/>
      <c r="AI80" s="65"/>
      <c r="AJ80" s="65"/>
      <c r="AK80" s="65"/>
    </row>
    <row r="81" spans="14:37">
      <c r="N81" s="65"/>
      <c r="O81" s="65"/>
      <c r="P81" s="65"/>
      <c r="Q81" s="65"/>
      <c r="R81" s="65"/>
      <c r="S81" s="65"/>
      <c r="T81" s="65"/>
      <c r="U81" s="65"/>
      <c r="V81" s="65"/>
      <c r="W81" s="65"/>
      <c r="X81" s="65"/>
      <c r="Y81" s="65"/>
      <c r="Z81" s="65"/>
      <c r="AA81" s="65"/>
      <c r="AB81" s="65"/>
      <c r="AC81" s="65"/>
      <c r="AD81" s="65"/>
      <c r="AE81" s="65"/>
      <c r="AF81" s="65"/>
      <c r="AG81" s="65"/>
      <c r="AH81" s="65"/>
      <c r="AI81" s="65"/>
      <c r="AJ81" s="65"/>
      <c r="AK81" s="65"/>
    </row>
    <row r="82" spans="14:37">
      <c r="N82" s="65"/>
      <c r="O82" s="65"/>
      <c r="P82" s="65"/>
      <c r="Q82" s="65"/>
      <c r="R82" s="65"/>
      <c r="S82" s="65"/>
      <c r="T82" s="65"/>
      <c r="U82" s="65"/>
      <c r="V82" s="65"/>
      <c r="W82" s="65"/>
      <c r="X82" s="65"/>
      <c r="Y82" s="65"/>
      <c r="Z82" s="65"/>
      <c r="AA82" s="65"/>
      <c r="AB82" s="65"/>
      <c r="AC82" s="65"/>
      <c r="AD82" s="65"/>
      <c r="AE82" s="65"/>
      <c r="AF82" s="65"/>
      <c r="AG82" s="65"/>
      <c r="AH82" s="65"/>
      <c r="AI82" s="65"/>
      <c r="AJ82" s="65"/>
      <c r="AK82" s="65"/>
    </row>
    <row r="83" spans="14:37">
      <c r="N83" s="65"/>
      <c r="O83" s="65"/>
      <c r="P83" s="65"/>
      <c r="Q83" s="65"/>
      <c r="R83" s="65"/>
      <c r="S83" s="65"/>
      <c r="T83" s="65"/>
      <c r="U83" s="65"/>
      <c r="V83" s="65"/>
      <c r="W83" s="65"/>
      <c r="X83" s="65"/>
      <c r="Y83" s="65"/>
      <c r="Z83" s="65"/>
      <c r="AA83" s="65"/>
      <c r="AB83" s="65"/>
      <c r="AC83" s="65"/>
      <c r="AD83" s="65"/>
      <c r="AE83" s="65"/>
      <c r="AF83" s="65"/>
      <c r="AG83" s="65"/>
      <c r="AH83" s="65"/>
      <c r="AI83" s="65"/>
      <c r="AJ83" s="65"/>
      <c r="AK83" s="65"/>
    </row>
    <row r="84" spans="14:37">
      <c r="N84" s="65"/>
      <c r="O84" s="65"/>
      <c r="P84" s="65"/>
      <c r="Q84" s="65"/>
      <c r="R84" s="65"/>
      <c r="S84" s="65"/>
      <c r="T84" s="65"/>
      <c r="U84" s="65"/>
      <c r="V84" s="65"/>
      <c r="W84" s="65"/>
      <c r="X84" s="65"/>
      <c r="Y84" s="65"/>
      <c r="Z84" s="65"/>
      <c r="AA84" s="65"/>
      <c r="AB84" s="65"/>
      <c r="AC84" s="65"/>
      <c r="AD84" s="65"/>
      <c r="AE84" s="65"/>
      <c r="AF84" s="65"/>
      <c r="AG84" s="65"/>
      <c r="AH84" s="65"/>
      <c r="AI84" s="65"/>
      <c r="AJ84" s="65"/>
      <c r="AK84" s="65"/>
    </row>
    <row r="85" spans="14:37">
      <c r="N85" s="65"/>
      <c r="O85" s="65"/>
      <c r="P85" s="65"/>
      <c r="Q85" s="65"/>
      <c r="R85" s="65"/>
      <c r="S85" s="65"/>
      <c r="T85" s="65"/>
      <c r="U85" s="65"/>
      <c r="V85" s="65"/>
      <c r="W85" s="65"/>
      <c r="X85" s="65"/>
      <c r="Y85" s="65"/>
      <c r="Z85" s="65"/>
      <c r="AA85" s="65"/>
      <c r="AB85" s="65"/>
      <c r="AC85" s="65"/>
      <c r="AD85" s="65"/>
      <c r="AE85" s="65"/>
      <c r="AF85" s="65"/>
      <c r="AG85" s="65"/>
      <c r="AH85" s="65"/>
      <c r="AI85" s="65"/>
      <c r="AJ85" s="65"/>
      <c r="AK85" s="65"/>
    </row>
    <row r="86" spans="14:37">
      <c r="N86" s="65"/>
      <c r="O86" s="65"/>
      <c r="P86" s="65"/>
      <c r="Q86" s="65"/>
      <c r="R86" s="65"/>
      <c r="S86" s="65"/>
      <c r="T86" s="65"/>
      <c r="U86" s="65"/>
      <c r="V86" s="65"/>
      <c r="W86" s="65"/>
      <c r="X86" s="65"/>
      <c r="Y86" s="65"/>
      <c r="Z86" s="65"/>
      <c r="AA86" s="65"/>
      <c r="AB86" s="65"/>
      <c r="AC86" s="65"/>
      <c r="AD86" s="65"/>
      <c r="AE86" s="65"/>
      <c r="AF86" s="65"/>
      <c r="AG86" s="65"/>
      <c r="AH86" s="65"/>
      <c r="AI86" s="65"/>
      <c r="AJ86" s="65"/>
      <c r="AK86" s="65"/>
    </row>
    <row r="87" spans="14:37">
      <c r="N87" s="65"/>
      <c r="O87" s="65"/>
      <c r="P87" s="65"/>
      <c r="Q87" s="65"/>
      <c r="R87" s="65"/>
      <c r="S87" s="65"/>
      <c r="T87" s="65"/>
      <c r="U87" s="65"/>
      <c r="V87" s="65"/>
      <c r="W87" s="65"/>
      <c r="X87" s="65"/>
      <c r="Y87" s="65"/>
      <c r="Z87" s="65"/>
      <c r="AA87" s="65"/>
      <c r="AB87" s="65"/>
      <c r="AC87" s="65"/>
      <c r="AD87" s="65"/>
      <c r="AE87" s="65"/>
      <c r="AF87" s="65"/>
      <c r="AG87" s="65"/>
      <c r="AH87" s="65"/>
      <c r="AI87" s="65"/>
      <c r="AJ87" s="65"/>
      <c r="AK87" s="65"/>
    </row>
    <row r="88" spans="14:37">
      <c r="N88" s="65"/>
      <c r="O88" s="65"/>
      <c r="P88" s="65"/>
      <c r="Q88" s="65"/>
      <c r="R88" s="65"/>
      <c r="S88" s="65"/>
      <c r="T88" s="65"/>
      <c r="U88" s="65"/>
      <c r="V88" s="65"/>
      <c r="W88" s="65"/>
      <c r="X88" s="65"/>
      <c r="Y88" s="65"/>
      <c r="Z88" s="65"/>
      <c r="AA88" s="65"/>
      <c r="AB88" s="65"/>
      <c r="AC88" s="65"/>
      <c r="AD88" s="65"/>
      <c r="AE88" s="65"/>
      <c r="AF88" s="65"/>
      <c r="AG88" s="65"/>
      <c r="AH88" s="65"/>
      <c r="AI88" s="65"/>
      <c r="AJ88" s="65"/>
      <c r="AK88" s="65"/>
    </row>
    <row r="89" spans="14:37">
      <c r="N89" s="65"/>
      <c r="O89" s="65"/>
      <c r="P89" s="65"/>
      <c r="Q89" s="65"/>
      <c r="R89" s="65"/>
      <c r="S89" s="65"/>
      <c r="T89" s="65"/>
      <c r="U89" s="65"/>
      <c r="V89" s="65"/>
      <c r="W89" s="65"/>
      <c r="X89" s="65"/>
      <c r="Y89" s="65"/>
      <c r="Z89" s="65"/>
      <c r="AA89" s="65"/>
      <c r="AB89" s="65"/>
      <c r="AC89" s="65"/>
      <c r="AD89" s="65"/>
      <c r="AE89" s="65"/>
      <c r="AF89" s="65"/>
      <c r="AG89" s="65"/>
      <c r="AH89" s="65"/>
      <c r="AI89" s="65"/>
      <c r="AJ89" s="65"/>
      <c r="AK89" s="65"/>
    </row>
    <row r="90" spans="14:37">
      <c r="N90" s="65"/>
      <c r="O90" s="65"/>
      <c r="P90" s="65"/>
      <c r="Q90" s="65"/>
      <c r="R90" s="65"/>
      <c r="S90" s="65"/>
      <c r="T90" s="65"/>
      <c r="U90" s="65"/>
      <c r="V90" s="65"/>
      <c r="W90" s="65"/>
      <c r="X90" s="65"/>
      <c r="Y90" s="65"/>
      <c r="Z90" s="65"/>
      <c r="AA90" s="65"/>
      <c r="AB90" s="65"/>
      <c r="AC90" s="65"/>
      <c r="AD90" s="65"/>
      <c r="AE90" s="65"/>
      <c r="AF90" s="65"/>
      <c r="AG90" s="65"/>
      <c r="AH90" s="65"/>
      <c r="AI90" s="65"/>
      <c r="AJ90" s="65"/>
      <c r="AK90" s="65"/>
    </row>
    <row r="91" spans="14:37">
      <c r="N91" s="65"/>
      <c r="O91" s="65"/>
      <c r="P91" s="65"/>
      <c r="Q91" s="65"/>
      <c r="R91" s="65"/>
      <c r="S91" s="65"/>
      <c r="T91" s="65"/>
      <c r="U91" s="65"/>
      <c r="V91" s="65"/>
      <c r="W91" s="65"/>
      <c r="X91" s="65"/>
      <c r="Y91" s="65"/>
      <c r="Z91" s="65"/>
      <c r="AA91" s="65"/>
      <c r="AB91" s="65"/>
      <c r="AC91" s="65"/>
      <c r="AD91" s="65"/>
      <c r="AE91" s="65"/>
      <c r="AF91" s="65"/>
      <c r="AG91" s="65"/>
      <c r="AH91" s="65"/>
      <c r="AI91" s="65"/>
      <c r="AJ91" s="65"/>
      <c r="AK91" s="65"/>
    </row>
    <row r="92" spans="14:37">
      <c r="N92" s="65"/>
      <c r="O92" s="65"/>
      <c r="P92" s="65"/>
      <c r="Q92" s="65"/>
      <c r="R92" s="65"/>
      <c r="S92" s="65"/>
      <c r="T92" s="65"/>
      <c r="U92" s="65"/>
      <c r="V92" s="65"/>
      <c r="W92" s="65"/>
      <c r="X92" s="65"/>
      <c r="Y92" s="65"/>
      <c r="Z92" s="65"/>
      <c r="AA92" s="65"/>
      <c r="AB92" s="65"/>
      <c r="AC92" s="65"/>
      <c r="AD92" s="65"/>
      <c r="AE92" s="65"/>
      <c r="AF92" s="65"/>
      <c r="AG92" s="65"/>
      <c r="AH92" s="65"/>
      <c r="AI92" s="65"/>
      <c r="AJ92" s="65"/>
      <c r="AK92" s="65"/>
    </row>
    <row r="93" spans="14:37">
      <c r="N93" s="65"/>
      <c r="O93" s="65"/>
      <c r="P93" s="65"/>
      <c r="Q93" s="65"/>
      <c r="R93" s="65"/>
      <c r="S93" s="65"/>
      <c r="T93" s="65"/>
      <c r="U93" s="65"/>
      <c r="V93" s="65"/>
      <c r="W93" s="65"/>
      <c r="X93" s="65"/>
      <c r="Y93" s="65"/>
      <c r="Z93" s="65"/>
      <c r="AA93" s="65"/>
      <c r="AB93" s="65"/>
      <c r="AC93" s="65"/>
      <c r="AD93" s="65"/>
      <c r="AE93" s="65"/>
      <c r="AF93" s="65"/>
      <c r="AG93" s="65"/>
      <c r="AH93" s="65"/>
      <c r="AI93" s="65"/>
      <c r="AJ93" s="65"/>
      <c r="AK93" s="65"/>
    </row>
    <row r="94" spans="14:37">
      <c r="N94" s="65"/>
      <c r="O94" s="65"/>
      <c r="P94" s="65"/>
      <c r="Q94" s="65"/>
      <c r="R94" s="65"/>
      <c r="S94" s="65"/>
      <c r="T94" s="65"/>
      <c r="U94" s="65"/>
      <c r="V94" s="65"/>
      <c r="W94" s="65"/>
      <c r="X94" s="65"/>
      <c r="Y94" s="65"/>
      <c r="Z94" s="65"/>
      <c r="AA94" s="65"/>
      <c r="AB94" s="65"/>
      <c r="AC94" s="65"/>
      <c r="AD94" s="65"/>
      <c r="AE94" s="65"/>
      <c r="AF94" s="65"/>
      <c r="AG94" s="65"/>
      <c r="AH94" s="65"/>
      <c r="AI94" s="65"/>
      <c r="AJ94" s="65"/>
      <c r="AK94" s="65"/>
    </row>
    <row r="95" spans="14:37">
      <c r="N95" s="65"/>
      <c r="O95" s="65"/>
      <c r="P95" s="65"/>
      <c r="Q95" s="65"/>
      <c r="R95" s="65"/>
      <c r="S95" s="65"/>
      <c r="T95" s="65"/>
      <c r="U95" s="65"/>
      <c r="V95" s="65"/>
      <c r="W95" s="65"/>
      <c r="X95" s="65"/>
      <c r="Y95" s="65"/>
      <c r="Z95" s="65"/>
      <c r="AA95" s="65"/>
      <c r="AB95" s="65"/>
      <c r="AC95" s="65"/>
      <c r="AD95" s="65"/>
      <c r="AE95" s="65"/>
      <c r="AF95" s="65"/>
      <c r="AG95" s="65"/>
      <c r="AH95" s="65"/>
      <c r="AI95" s="65"/>
      <c r="AJ95" s="65"/>
      <c r="AK95" s="65"/>
    </row>
    <row r="96" spans="14:37">
      <c r="N96" s="65"/>
      <c r="O96" s="65"/>
      <c r="P96" s="65"/>
      <c r="Q96" s="65"/>
      <c r="R96" s="65"/>
      <c r="S96" s="65"/>
      <c r="T96" s="65"/>
      <c r="U96" s="65"/>
      <c r="V96" s="65"/>
      <c r="W96" s="65"/>
      <c r="X96" s="65"/>
      <c r="Y96" s="65"/>
      <c r="Z96" s="65"/>
      <c r="AA96" s="65"/>
      <c r="AB96" s="65"/>
      <c r="AC96" s="65"/>
      <c r="AD96" s="65"/>
      <c r="AE96" s="65"/>
      <c r="AF96" s="65"/>
      <c r="AG96" s="65"/>
      <c r="AH96" s="65"/>
      <c r="AI96" s="65"/>
      <c r="AJ96" s="65"/>
      <c r="AK96" s="65"/>
    </row>
    <row r="97" spans="14:37">
      <c r="N97" s="65"/>
      <c r="O97" s="65"/>
      <c r="P97" s="65"/>
      <c r="Q97" s="65"/>
      <c r="R97" s="65"/>
      <c r="S97" s="65"/>
      <c r="T97" s="65"/>
      <c r="U97" s="65"/>
      <c r="V97" s="65"/>
      <c r="W97" s="65"/>
      <c r="X97" s="65"/>
      <c r="Y97" s="65"/>
      <c r="Z97" s="65"/>
      <c r="AA97" s="65"/>
      <c r="AB97" s="65"/>
      <c r="AC97" s="65"/>
      <c r="AD97" s="65"/>
      <c r="AE97" s="65"/>
      <c r="AF97" s="65"/>
      <c r="AG97" s="65"/>
      <c r="AH97" s="65"/>
      <c r="AI97" s="65"/>
      <c r="AJ97" s="65"/>
      <c r="AK97" s="65"/>
    </row>
    <row r="98" spans="14:37">
      <c r="N98" s="65"/>
      <c r="O98" s="65"/>
      <c r="P98" s="65"/>
      <c r="Q98" s="65"/>
      <c r="R98" s="65"/>
      <c r="S98" s="65"/>
      <c r="T98" s="65"/>
      <c r="U98" s="65"/>
      <c r="V98" s="65"/>
      <c r="W98" s="65"/>
      <c r="X98" s="65"/>
      <c r="Y98" s="65"/>
      <c r="Z98" s="65"/>
      <c r="AA98" s="65"/>
      <c r="AB98" s="65"/>
      <c r="AC98" s="65"/>
      <c r="AD98" s="65"/>
      <c r="AE98" s="65"/>
      <c r="AF98" s="65"/>
      <c r="AG98" s="65"/>
      <c r="AH98" s="65"/>
      <c r="AI98" s="65"/>
      <c r="AJ98" s="65"/>
      <c r="AK98" s="65"/>
    </row>
    <row r="99" spans="14:37">
      <c r="N99" s="65"/>
      <c r="O99" s="65"/>
      <c r="P99" s="65"/>
      <c r="Q99" s="65"/>
      <c r="R99" s="65"/>
      <c r="S99" s="65"/>
      <c r="T99" s="65"/>
      <c r="U99" s="65"/>
      <c r="V99" s="65"/>
      <c r="W99" s="65"/>
      <c r="X99" s="65"/>
      <c r="Y99" s="65"/>
      <c r="Z99" s="65"/>
      <c r="AA99" s="65"/>
      <c r="AB99" s="65"/>
      <c r="AC99" s="65"/>
      <c r="AD99" s="65"/>
      <c r="AE99" s="65"/>
      <c r="AF99" s="65"/>
      <c r="AG99" s="65"/>
      <c r="AH99" s="65"/>
      <c r="AI99" s="65"/>
      <c r="AJ99" s="65"/>
      <c r="AK99" s="65"/>
    </row>
    <row r="100" spans="14:37">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row>
    <row r="101" spans="14:37">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row>
    <row r="102" spans="14:37">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row>
    <row r="103" spans="14:37">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row>
    <row r="104" spans="14:37">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row>
    <row r="105" spans="14:37">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row>
    <row r="106" spans="14:37">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row>
    <row r="107" spans="14:37">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row>
    <row r="109" spans="12:12">
      <c r="L109" s="1"/>
    </row>
  </sheetData>
  <sheetProtection sheet="1" selectLockedCells="1" selectUnlockedCells="1" objects="1" scenarios="1"/>
  <pageMargins left="0.708661417322835" right="0.708661417322835" top="0.748031496062992" bottom="0.748031496062992" header="0.31496062992126" footer="0.31496062992126"/>
  <pageSetup paperSize="1" scale="15" orientation="landscape"/>
  <headerFooter>
    <oddHeader>&amp;R&amp;"Calibri,Regular"&amp;10&amp;K808080EIUSAFE CITY INDEX 2014</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612353" name="Check Box 1" r:id="rId3">
              <controlPr defaultSize="0">
                <anchor moveWithCells="1">
                  <from>
                    <xdr:col>17</xdr:col>
                    <xdr:colOff>238125</xdr:colOff>
                    <xdr:row>2</xdr:row>
                    <xdr:rowOff>123825</xdr:rowOff>
                  </from>
                  <to>
                    <xdr:col>19</xdr:col>
                    <xdr:colOff>19050</xdr:colOff>
                    <xdr:row>2</xdr:row>
                    <xdr:rowOff>342900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pageSetUpPr fitToPage="1"/>
  </sheetPr>
  <dimension ref="A1:BD63"/>
  <sheetViews>
    <sheetView showGridLines="0" showRowColHeaders="0" workbookViewId="0">
      <pane ySplit="6" topLeftCell="A7" activePane="bottomLeft" state="frozen"/>
      <selection/>
      <selection pane="bottomLeft" activeCell="A1" sqref="A1"/>
    </sheetView>
  </sheetViews>
  <sheetFormatPr defaultColWidth="9" defaultRowHeight="15"/>
  <cols>
    <col min="1" max="1" width="3.71428571428571" customWidth="1"/>
    <col min="2" max="2" width="5.71428571428571" hidden="1" customWidth="1"/>
    <col min="3" max="3" width="5.28571428571429" hidden="1" customWidth="1"/>
    <col min="4" max="4" width="2.42857142857143" hidden="1" customWidth="1"/>
    <col min="5" max="5" width="62.5714285714286" customWidth="1"/>
    <col min="6" max="6" width="30" customWidth="1"/>
    <col min="7" max="56" width="13.4285714285714" customWidth="1"/>
  </cols>
  <sheetData>
    <row r="1" ht="27" customHeight="1" spans="1:4">
      <c r="A1" s="2" t="str">
        <f>Summary!A1</f>
        <v>                             Safe City Index</v>
      </c>
      <c r="D1" s="2"/>
    </row>
    <row r="2" ht="21" customHeight="1"/>
    <row r="3" ht="37.5" customHeight="1"/>
    <row r="4" ht="14.25" customHeight="1"/>
    <row r="5" hidden="1" spans="2:56">
      <c r="B5" s="23"/>
      <c r="E5" s="23"/>
      <c r="F5" s="23"/>
      <c r="G5" s="23">
        <v>1</v>
      </c>
      <c r="H5" s="23">
        <v>2</v>
      </c>
      <c r="I5" s="23">
        <v>3</v>
      </c>
      <c r="J5" s="23">
        <v>4</v>
      </c>
      <c r="K5" s="23">
        <v>5</v>
      </c>
      <c r="L5" s="23">
        <v>6</v>
      </c>
      <c r="M5" s="23">
        <v>7</v>
      </c>
      <c r="N5" s="23">
        <v>8</v>
      </c>
      <c r="O5" s="23">
        <v>9</v>
      </c>
      <c r="P5" s="23">
        <v>10</v>
      </c>
      <c r="Q5" s="23">
        <v>11</v>
      </c>
      <c r="R5" s="23">
        <v>12</v>
      </c>
      <c r="S5" s="23">
        <v>13</v>
      </c>
      <c r="T5" s="23">
        <v>14</v>
      </c>
      <c r="U5" s="23">
        <v>15</v>
      </c>
      <c r="V5" s="23">
        <v>16</v>
      </c>
      <c r="W5" s="23">
        <v>17</v>
      </c>
      <c r="X5" s="23">
        <v>18</v>
      </c>
      <c r="Y5" s="23">
        <v>19</v>
      </c>
      <c r="Z5" s="23">
        <v>20</v>
      </c>
      <c r="AA5" s="23">
        <v>21</v>
      </c>
      <c r="AB5" s="23">
        <v>22</v>
      </c>
      <c r="AC5" s="23">
        <v>23</v>
      </c>
      <c r="AD5" s="23">
        <v>24</v>
      </c>
      <c r="AE5" s="23">
        <v>25</v>
      </c>
      <c r="AF5" s="23">
        <v>26</v>
      </c>
      <c r="AG5" s="23">
        <v>27</v>
      </c>
      <c r="AH5" s="23">
        <v>28</v>
      </c>
      <c r="AI5" s="23">
        <v>29</v>
      </c>
      <c r="AJ5" s="23">
        <v>30</v>
      </c>
      <c r="AK5" s="23">
        <v>31</v>
      </c>
      <c r="AL5" s="23">
        <v>32</v>
      </c>
      <c r="AM5" s="23">
        <v>33</v>
      </c>
      <c r="AN5" s="23">
        <v>34</v>
      </c>
      <c r="AO5" s="23">
        <v>35</v>
      </c>
      <c r="AP5" s="23">
        <v>36</v>
      </c>
      <c r="AQ5" s="23">
        <v>37</v>
      </c>
      <c r="AR5" s="23">
        <v>38</v>
      </c>
      <c r="AS5" s="23">
        <v>39</v>
      </c>
      <c r="AT5" s="23">
        <v>40</v>
      </c>
      <c r="AU5" s="23">
        <v>41</v>
      </c>
      <c r="AV5" s="23">
        <v>42</v>
      </c>
      <c r="AW5" s="23">
        <v>43</v>
      </c>
      <c r="AX5" s="23">
        <v>44</v>
      </c>
      <c r="AY5" s="23">
        <v>45</v>
      </c>
      <c r="AZ5" s="23">
        <v>46</v>
      </c>
      <c r="BA5" s="23">
        <v>47</v>
      </c>
      <c r="BB5" s="23">
        <v>48</v>
      </c>
      <c r="BC5" s="23">
        <v>49</v>
      </c>
      <c r="BD5" s="23">
        <v>50</v>
      </c>
    </row>
    <row r="6" spans="1:56">
      <c r="A6" s="24"/>
      <c r="B6" s="25" t="s">
        <v>37</v>
      </c>
      <c r="C6" s="24" t="s">
        <v>1713</v>
      </c>
      <c r="D6" s="24"/>
      <c r="E6" s="25" t="s">
        <v>77</v>
      </c>
      <c r="F6" s="25" t="s">
        <v>1641</v>
      </c>
      <c r="G6" s="26" t="str">
        <f>INDEX(luCountry,G5)</f>
        <v>Stockholm</v>
      </c>
      <c r="H6" s="26" t="str">
        <f t="shared" ref="H6:BD6" si="0">INDEX(luCountry,H5)</f>
        <v>Johannesburg</v>
      </c>
      <c r="I6" s="26" t="str">
        <f t="shared" si="0"/>
        <v>Buenos Aires</v>
      </c>
      <c r="J6" s="26" t="str">
        <f t="shared" si="0"/>
        <v>Sao Paulo</v>
      </c>
      <c r="K6" s="26" t="str">
        <f t="shared" si="0"/>
        <v>Rio de Janeiro</v>
      </c>
      <c r="L6" s="26" t="str">
        <f t="shared" si="0"/>
        <v>Los Angeles</v>
      </c>
      <c r="M6" s="26" t="str">
        <f t="shared" si="0"/>
        <v>San Francisco</v>
      </c>
      <c r="N6" s="26" t="str">
        <f t="shared" si="0"/>
        <v>Toronto</v>
      </c>
      <c r="O6" s="26" t="str">
        <f t="shared" si="0"/>
        <v>Montreal</v>
      </c>
      <c r="P6" s="26" t="str">
        <f t="shared" si="0"/>
        <v>Chicago</v>
      </c>
      <c r="Q6" s="26" t="str">
        <f t="shared" si="0"/>
        <v>Mexico City</v>
      </c>
      <c r="R6" s="26" t="str">
        <f t="shared" si="0"/>
        <v>Lima</v>
      </c>
      <c r="S6" s="26" t="str">
        <f t="shared" si="0"/>
        <v>Santiago</v>
      </c>
      <c r="T6" s="26" t="str">
        <f t="shared" si="0"/>
        <v>New York</v>
      </c>
      <c r="U6" s="26" t="str">
        <f t="shared" si="0"/>
        <v>Washington DC</v>
      </c>
      <c r="V6" s="26" t="str">
        <f t="shared" si="0"/>
        <v>Sydney</v>
      </c>
      <c r="W6" s="26" t="str">
        <f t="shared" si="0"/>
        <v>Melbourne</v>
      </c>
      <c r="X6" s="26" t="str">
        <f t="shared" si="0"/>
        <v>Hong Kong</v>
      </c>
      <c r="Y6" s="26" t="str">
        <f t="shared" si="0"/>
        <v>Beijing </v>
      </c>
      <c r="Z6" s="26" t="str">
        <f t="shared" si="0"/>
        <v>Shanghai</v>
      </c>
      <c r="AA6" s="26" t="str">
        <f t="shared" si="0"/>
        <v>Shenzhen</v>
      </c>
      <c r="AB6" s="26" t="str">
        <f t="shared" si="0"/>
        <v>Guangzhou</v>
      </c>
      <c r="AC6" s="26" t="str">
        <f t="shared" si="0"/>
        <v>Tianjin</v>
      </c>
      <c r="AD6" s="26" t="str">
        <f t="shared" si="0"/>
        <v>Mumbai</v>
      </c>
      <c r="AE6" s="26" t="str">
        <f t="shared" si="0"/>
        <v>Delhi</v>
      </c>
      <c r="AF6" s="26" t="str">
        <f t="shared" si="0"/>
        <v>Jakarta</v>
      </c>
      <c r="AG6" s="26" t="str">
        <f t="shared" si="0"/>
        <v>Tehran</v>
      </c>
      <c r="AH6" s="26" t="str">
        <f t="shared" si="0"/>
        <v>Tokyo</v>
      </c>
      <c r="AI6" s="26" t="str">
        <f t="shared" si="0"/>
        <v>Osaka</v>
      </c>
      <c r="AJ6" s="26" t="str">
        <f t="shared" si="0"/>
        <v>Singapore</v>
      </c>
      <c r="AK6" s="26" t="str">
        <f t="shared" si="0"/>
        <v>Seoul</v>
      </c>
      <c r="AL6" s="26" t="str">
        <f t="shared" si="0"/>
        <v>Taipei</v>
      </c>
      <c r="AM6" s="26" t="str">
        <f t="shared" si="0"/>
        <v>Bangkok</v>
      </c>
      <c r="AN6" s="26" t="str">
        <f t="shared" si="0"/>
        <v>Ho Chi Minh</v>
      </c>
      <c r="AO6" s="26" t="str">
        <f t="shared" si="0"/>
        <v>Kuwait City</v>
      </c>
      <c r="AP6" s="26" t="str">
        <f t="shared" si="0"/>
        <v>Doha</v>
      </c>
      <c r="AQ6" s="26" t="str">
        <f t="shared" si="0"/>
        <v>Riyadh</v>
      </c>
      <c r="AR6" s="26" t="str">
        <f t="shared" si="0"/>
        <v>Abu Dhabi</v>
      </c>
      <c r="AS6" s="26" t="str">
        <f t="shared" si="0"/>
        <v>Brussels</v>
      </c>
      <c r="AT6" s="26" t="str">
        <f t="shared" si="0"/>
        <v>Paris</v>
      </c>
      <c r="AU6" s="26" t="str">
        <f t="shared" si="0"/>
        <v>Frankfurt</v>
      </c>
      <c r="AV6" s="26" t="str">
        <f t="shared" si="0"/>
        <v>Rome</v>
      </c>
      <c r="AW6" s="26" t="str">
        <f t="shared" si="0"/>
        <v>Milan</v>
      </c>
      <c r="AX6" s="26" t="str">
        <f t="shared" si="0"/>
        <v>Amsterdam</v>
      </c>
      <c r="AY6" s="26" t="str">
        <f t="shared" si="0"/>
        <v>Moscow</v>
      </c>
      <c r="AZ6" s="26" t="str">
        <f t="shared" si="0"/>
        <v>Madrid</v>
      </c>
      <c r="BA6" s="26" t="str">
        <f t="shared" si="0"/>
        <v>Barcelona</v>
      </c>
      <c r="BB6" s="26" t="str">
        <f t="shared" si="0"/>
        <v>Zurich</v>
      </c>
      <c r="BC6" s="26" t="str">
        <f t="shared" si="0"/>
        <v>Istanbul</v>
      </c>
      <c r="BD6" s="26" t="str">
        <f t="shared" si="0"/>
        <v>London</v>
      </c>
    </row>
    <row r="7" spans="1:56">
      <c r="A7" s="24"/>
      <c r="B7" s="27">
        <f>tblIndicators!D2</f>
        <v>0</v>
      </c>
      <c r="C7" s="24">
        <f>tblIndicators!M2</f>
        <v>1</v>
      </c>
      <c r="D7" s="24"/>
      <c r="E7" s="27" t="str">
        <f>tblIndicators!Z2</f>
        <v>TOTAL SCORE</v>
      </c>
      <c r="F7" s="28" t="str">
        <f>IF($C7&gt;1,tblIndicators!J2,"")</f>
        <v/>
      </c>
      <c r="G7" s="29" t="str">
        <f>IF(ISNUMBER($D7),ROUND(VLOOKUP((CONCATENATE(G$6,$D7)),#REF!,14,FALSE),tblIndicators!$T2),"")</f>
        <v/>
      </c>
      <c r="H7" s="29" t="str">
        <f>IF(ISNUMBER($D7),ROUND(VLOOKUP((CONCATENATE(H$6,$D7)),#REF!,14,FALSE),tblIndicators!$T2),"")</f>
        <v/>
      </c>
      <c r="I7" s="29" t="str">
        <f>IF(ISNUMBER($D7),ROUND(VLOOKUP((CONCATENATE(I$6,$D7)),#REF!,14,FALSE),tblIndicators!$T2),"")</f>
        <v/>
      </c>
      <c r="J7" s="29" t="str">
        <f>IF(ISNUMBER($D7),ROUND(VLOOKUP((CONCATENATE(J$6,$D7)),#REF!,14,FALSE),tblIndicators!$T2),"")</f>
        <v/>
      </c>
      <c r="K7" s="29" t="str">
        <f>IF(ISNUMBER($D7),ROUND(VLOOKUP((CONCATENATE(K$6,$D7)),#REF!,14,FALSE),tblIndicators!$T2),"")</f>
        <v/>
      </c>
      <c r="L7" s="29" t="str">
        <f>IF(ISNUMBER($D7),ROUND(VLOOKUP((CONCATENATE(L$6,$D7)),#REF!,14,FALSE),tblIndicators!$T2),"")</f>
        <v/>
      </c>
      <c r="M7" s="29" t="str">
        <f>IF(ISNUMBER($D7),ROUND(VLOOKUP((CONCATENATE(M$6,$D7)),#REF!,14,FALSE),tblIndicators!$T2),"")</f>
        <v/>
      </c>
      <c r="N7" s="29" t="str">
        <f>IF(ISNUMBER($D7),ROUND(VLOOKUP((CONCATENATE(N$6,$D7)),#REF!,14,FALSE),tblIndicators!$T2),"")</f>
        <v/>
      </c>
      <c r="O7" s="29" t="str">
        <f>IF(ISNUMBER($D7),ROUND(VLOOKUP((CONCATENATE(O$6,$D7)),#REF!,14,FALSE),tblIndicators!$T2),"")</f>
        <v/>
      </c>
      <c r="P7" s="29" t="str">
        <f>IF(ISNUMBER($D7),ROUND(VLOOKUP((CONCATENATE(P$6,$D7)),#REF!,14,FALSE),tblIndicators!$T2),"")</f>
        <v/>
      </c>
      <c r="Q7" s="29" t="str">
        <f>IF(ISNUMBER($D7),ROUND(VLOOKUP((CONCATENATE(Q$6,$D7)),#REF!,14,FALSE),tblIndicators!$T2),"")</f>
        <v/>
      </c>
      <c r="R7" s="29" t="str">
        <f>IF(ISNUMBER($D7),ROUND(VLOOKUP((CONCATENATE(R$6,$D7)),#REF!,14,FALSE),tblIndicators!$T2),"")</f>
        <v/>
      </c>
      <c r="S7" s="29" t="str">
        <f>IF(ISNUMBER($D7),ROUND(VLOOKUP((CONCATENATE(S$6,$D7)),#REF!,14,FALSE),tblIndicators!$T2),"")</f>
        <v/>
      </c>
      <c r="T7" s="29" t="str">
        <f>IF(ISNUMBER($D7),ROUND(VLOOKUP((CONCATENATE(T$6,$D7)),#REF!,14,FALSE),tblIndicators!$T2),"")</f>
        <v/>
      </c>
      <c r="U7" s="29" t="str">
        <f>IF(ISNUMBER($D7),ROUND(VLOOKUP((CONCATENATE(U$6,$D7)),#REF!,14,FALSE),tblIndicators!$T2),"")</f>
        <v/>
      </c>
      <c r="V7" s="29" t="str">
        <f>IF(ISNUMBER($D7),ROUND(VLOOKUP((CONCATENATE(V$6,$D7)),#REF!,14,FALSE),tblIndicators!$T2),"")</f>
        <v/>
      </c>
      <c r="W7" s="29" t="str">
        <f>IF(ISNUMBER($D7),ROUND(VLOOKUP((CONCATENATE(W$6,$D7)),#REF!,14,FALSE),tblIndicators!$T2),"")</f>
        <v/>
      </c>
      <c r="X7" s="29" t="str">
        <f>IF(ISNUMBER($D7),ROUND(VLOOKUP((CONCATENATE(X$6,$D7)),#REF!,14,FALSE),tblIndicators!$T2),"")</f>
        <v/>
      </c>
      <c r="Y7" s="29" t="str">
        <f>IF(ISNUMBER($D7),ROUND(VLOOKUP((CONCATENATE(Y$6,$D7)),#REF!,14,FALSE),tblIndicators!$T2),"")</f>
        <v/>
      </c>
      <c r="Z7" s="29" t="str">
        <f>IF(ISNUMBER($D7),ROUND(VLOOKUP((CONCATENATE(Z$6,$D7)),#REF!,14,FALSE),tblIndicators!$T2),"")</f>
        <v/>
      </c>
      <c r="AA7" s="29" t="str">
        <f>IF(ISNUMBER($D7),ROUND(VLOOKUP((CONCATENATE(AA$6,$D7)),#REF!,14,FALSE),tblIndicators!$T2),"")</f>
        <v/>
      </c>
      <c r="AB7" s="29" t="str">
        <f>IF(ISNUMBER($D7),ROUND(VLOOKUP((CONCATENATE(AB$6,$D7)),#REF!,14,FALSE),tblIndicators!$T2),"")</f>
        <v/>
      </c>
      <c r="AC7" s="29" t="str">
        <f>IF(ISNUMBER($D7),ROUND(VLOOKUP((CONCATENATE(AC$6,$D7)),#REF!,14,FALSE),tblIndicators!$T2),"")</f>
        <v/>
      </c>
      <c r="AD7" s="29" t="str">
        <f>IF(ISNUMBER($D7),ROUND(VLOOKUP((CONCATENATE(AD$6,$D7)),#REF!,14,FALSE),tblIndicators!$T2),"")</f>
        <v/>
      </c>
      <c r="AE7" s="29" t="str">
        <f>IF(ISNUMBER($D7),ROUND(VLOOKUP((CONCATENATE(AE$6,$D7)),#REF!,14,FALSE),tblIndicators!$T2),"")</f>
        <v/>
      </c>
      <c r="AF7" s="29" t="str">
        <f>IF(ISNUMBER($D7),ROUND(VLOOKUP((CONCATENATE(AF$6,$D7)),#REF!,14,FALSE),tblIndicators!$T2),"")</f>
        <v/>
      </c>
      <c r="AG7" s="29" t="str">
        <f>IF(ISNUMBER($D7),ROUND(VLOOKUP((CONCATENATE(AG$6,$D7)),#REF!,14,FALSE),tblIndicators!$T2),"")</f>
        <v/>
      </c>
      <c r="AH7" s="29" t="str">
        <f>IF(ISNUMBER($D7),ROUND(VLOOKUP((CONCATENATE(AH$6,$D7)),#REF!,14,FALSE),tblIndicators!$T2),"")</f>
        <v/>
      </c>
      <c r="AI7" s="29" t="str">
        <f>IF(ISNUMBER($D7),ROUND(VLOOKUP((CONCATENATE(AI$6,$D7)),#REF!,14,FALSE),tblIndicators!$T2),"")</f>
        <v/>
      </c>
      <c r="AJ7" s="29" t="str">
        <f>IF(ISNUMBER($D7),ROUND(VLOOKUP((CONCATENATE(AJ$6,$D7)),#REF!,14,FALSE),tblIndicators!$T2),"")</f>
        <v/>
      </c>
      <c r="AK7" s="29" t="str">
        <f>IF(ISNUMBER($D7),ROUND(VLOOKUP((CONCATENATE(AK$6,$D7)),#REF!,14,FALSE),tblIndicators!$T2),"")</f>
        <v/>
      </c>
      <c r="AL7" s="29" t="str">
        <f>IF(ISNUMBER($D7),ROUND(VLOOKUP((CONCATENATE(AL$6,$D7)),#REF!,14,FALSE),tblIndicators!$T2),"")</f>
        <v/>
      </c>
      <c r="AM7" s="29" t="str">
        <f>IF(ISNUMBER($D7),ROUND(VLOOKUP((CONCATENATE(AM$6,$D7)),#REF!,14,FALSE),tblIndicators!$T2),"")</f>
        <v/>
      </c>
      <c r="AN7" s="29" t="str">
        <f>IF(ISNUMBER($D7),ROUND(VLOOKUP((CONCATENATE(AN$6,$D7)),#REF!,14,FALSE),tblIndicators!$T2),"")</f>
        <v/>
      </c>
      <c r="AO7" s="29" t="str">
        <f>IF(ISNUMBER($D7),ROUND(VLOOKUP((CONCATENATE(AO$6,$D7)),#REF!,14,FALSE),tblIndicators!$T2),"")</f>
        <v/>
      </c>
      <c r="AP7" s="29" t="str">
        <f>IF(ISNUMBER($D7),ROUND(VLOOKUP((CONCATENATE(AP$6,$D7)),#REF!,14,FALSE),tblIndicators!$T2),"")</f>
        <v/>
      </c>
      <c r="AQ7" s="29" t="str">
        <f>IF(ISNUMBER($D7),ROUND(VLOOKUP((CONCATENATE(AQ$6,$D7)),#REF!,14,FALSE),tblIndicators!$T2),"")</f>
        <v/>
      </c>
      <c r="AR7" s="29" t="str">
        <f>IF(ISNUMBER($D7),ROUND(VLOOKUP((CONCATENATE(AR$6,$D7)),#REF!,14,FALSE),tblIndicators!$T2),"")</f>
        <v/>
      </c>
      <c r="AS7" s="29" t="str">
        <f>IF(ISNUMBER($D7),ROUND(VLOOKUP((CONCATENATE(AS$6,$D7)),#REF!,14,FALSE),tblIndicators!$T2),"")</f>
        <v/>
      </c>
      <c r="AT7" s="29" t="str">
        <f>IF(ISNUMBER($D7),ROUND(VLOOKUP((CONCATENATE(AT$6,$D7)),#REF!,14,FALSE),tblIndicators!$T2),"")</f>
        <v/>
      </c>
      <c r="AU7" s="29" t="str">
        <f>IF(ISNUMBER($D7),ROUND(VLOOKUP((CONCATENATE(AU$6,$D7)),#REF!,14,FALSE),tblIndicators!$T2),"")</f>
        <v/>
      </c>
      <c r="AV7" s="29" t="str">
        <f>IF(ISNUMBER($D7),ROUND(VLOOKUP((CONCATENATE(AV$6,$D7)),#REF!,14,FALSE),tblIndicators!$T2),"")</f>
        <v/>
      </c>
      <c r="AW7" s="29" t="str">
        <f>IF(ISNUMBER($D7),ROUND(VLOOKUP((CONCATENATE(AW$6,$D7)),#REF!,14,FALSE),tblIndicators!$T2),"")</f>
        <v/>
      </c>
      <c r="AX7" s="29" t="str">
        <f>IF(ISNUMBER($D7),ROUND(VLOOKUP((CONCATENATE(AX$6,$D7)),#REF!,14,FALSE),tblIndicators!$T2),"")</f>
        <v/>
      </c>
      <c r="AY7" s="29" t="str">
        <f>IF(ISNUMBER($D7),ROUND(VLOOKUP((CONCATENATE(AY$6,$D7)),#REF!,14,FALSE),tblIndicators!$T2),"")</f>
        <v/>
      </c>
      <c r="AZ7" s="29" t="str">
        <f>IF(ISNUMBER($D7),ROUND(VLOOKUP((CONCATENATE(AZ$6,$D7)),#REF!,14,FALSE),tblIndicators!$T2),"")</f>
        <v/>
      </c>
      <c r="BA7" s="29" t="str">
        <f>IF(ISNUMBER($D7),ROUND(VLOOKUP((CONCATENATE(BA$6,$D7)),#REF!,14,FALSE),tblIndicators!$T2),"")</f>
        <v/>
      </c>
      <c r="BB7" s="29" t="str">
        <f>IF(ISNUMBER($D7),ROUND(VLOOKUP((CONCATENATE(BB$6,$D7)),#REF!,14,FALSE),tblIndicators!$T2),"")</f>
        <v/>
      </c>
      <c r="BC7" s="29" t="str">
        <f>IF(ISNUMBER($D7),ROUND(VLOOKUP((CONCATENATE(BC$6,$D7)),#REF!,14,FALSE),tblIndicators!$T2),"")</f>
        <v/>
      </c>
      <c r="BD7" s="29" t="str">
        <f>IF(ISNUMBER($D7),ROUND(VLOOKUP((CONCATENATE(BD$6,$D7)),#REF!,14,FALSE),tblIndicators!$T2),"")</f>
        <v/>
      </c>
    </row>
    <row r="8" spans="1:56">
      <c r="A8" s="24"/>
      <c r="B8" s="27">
        <f>tblIndicators!D3</f>
        <v>1</v>
      </c>
      <c r="C8" s="24">
        <f>tblIndicators!M3</f>
        <v>1</v>
      </c>
      <c r="D8" s="24"/>
      <c r="E8" s="27" t="str">
        <f>tblIndicators!Z3</f>
        <v>1) DIGITAL SECURITY</v>
      </c>
      <c r="F8" s="28" t="str">
        <f>IF($C8&gt;1,tblIndicators!J3,"")</f>
        <v/>
      </c>
      <c r="G8" s="29" t="str">
        <f>IF(ISNUMBER($D8),ROUND(VLOOKUP((CONCATENATE(G$6,$D8)),#REF!,14,FALSE),tblIndicators!$T3),"")</f>
        <v/>
      </c>
      <c r="H8" s="29" t="str">
        <f>IF(ISNUMBER($D8),ROUND(VLOOKUP((CONCATENATE(H$6,$D8)),#REF!,14,FALSE),tblIndicators!$T3),"")</f>
        <v/>
      </c>
      <c r="I8" s="29" t="str">
        <f>IF(ISNUMBER($D8),ROUND(VLOOKUP((CONCATENATE(I$6,$D8)),#REF!,14,FALSE),tblIndicators!$T3),"")</f>
        <v/>
      </c>
      <c r="J8" s="29" t="str">
        <f>IF(ISNUMBER($D8),ROUND(VLOOKUP((CONCATENATE(J$6,$D8)),#REF!,14,FALSE),tblIndicators!$T3),"")</f>
        <v/>
      </c>
      <c r="K8" s="29" t="str">
        <f>IF(ISNUMBER($D8),ROUND(VLOOKUP((CONCATENATE(K$6,$D8)),#REF!,14,FALSE),tblIndicators!$T3),"")</f>
        <v/>
      </c>
      <c r="L8" s="29" t="str">
        <f>IF(ISNUMBER($D8),ROUND(VLOOKUP((CONCATENATE(L$6,$D8)),#REF!,14,FALSE),tblIndicators!$T3),"")</f>
        <v/>
      </c>
      <c r="M8" s="29" t="str">
        <f>IF(ISNUMBER($D8),ROUND(VLOOKUP((CONCATENATE(M$6,$D8)),#REF!,14,FALSE),tblIndicators!$T3),"")</f>
        <v/>
      </c>
      <c r="N8" s="29" t="str">
        <f>IF(ISNUMBER($D8),ROUND(VLOOKUP((CONCATENATE(N$6,$D8)),#REF!,14,FALSE),tblIndicators!$T3),"")</f>
        <v/>
      </c>
      <c r="O8" s="29" t="str">
        <f>IF(ISNUMBER($D8),ROUND(VLOOKUP((CONCATENATE(O$6,$D8)),#REF!,14,FALSE),tblIndicators!$T3),"")</f>
        <v/>
      </c>
      <c r="P8" s="29" t="str">
        <f>IF(ISNUMBER($D8),ROUND(VLOOKUP((CONCATENATE(P$6,$D8)),#REF!,14,FALSE),tblIndicators!$T3),"")</f>
        <v/>
      </c>
      <c r="Q8" s="29" t="str">
        <f>IF(ISNUMBER($D8),ROUND(VLOOKUP((CONCATENATE(Q$6,$D8)),#REF!,14,FALSE),tblIndicators!$T3),"")</f>
        <v/>
      </c>
      <c r="R8" s="29" t="str">
        <f>IF(ISNUMBER($D8),ROUND(VLOOKUP((CONCATENATE(R$6,$D8)),#REF!,14,FALSE),tblIndicators!$T3),"")</f>
        <v/>
      </c>
      <c r="S8" s="29" t="str">
        <f>IF(ISNUMBER($D8),ROUND(VLOOKUP((CONCATENATE(S$6,$D8)),#REF!,14,FALSE),tblIndicators!$T3),"")</f>
        <v/>
      </c>
      <c r="T8" s="29" t="str">
        <f>IF(ISNUMBER($D8),ROUND(VLOOKUP((CONCATENATE(T$6,$D8)),#REF!,14,FALSE),tblIndicators!$T3),"")</f>
        <v/>
      </c>
      <c r="U8" s="29" t="str">
        <f>IF(ISNUMBER($D8),ROUND(VLOOKUP((CONCATENATE(U$6,$D8)),#REF!,14,FALSE),tblIndicators!$T3),"")</f>
        <v/>
      </c>
      <c r="V8" s="29" t="str">
        <f>IF(ISNUMBER($D8),ROUND(VLOOKUP((CONCATENATE(V$6,$D8)),#REF!,14,FALSE),tblIndicators!$T3),"")</f>
        <v/>
      </c>
      <c r="W8" s="29" t="str">
        <f>IF(ISNUMBER($D8),ROUND(VLOOKUP((CONCATENATE(W$6,$D8)),#REF!,14,FALSE),tblIndicators!$T3),"")</f>
        <v/>
      </c>
      <c r="X8" s="29" t="str">
        <f>IF(ISNUMBER($D8),ROUND(VLOOKUP((CONCATENATE(X$6,$D8)),#REF!,14,FALSE),tblIndicators!$T3),"")</f>
        <v/>
      </c>
      <c r="Y8" s="29" t="str">
        <f>IF(ISNUMBER($D8),ROUND(VLOOKUP((CONCATENATE(Y$6,$D8)),#REF!,14,FALSE),tblIndicators!$T3),"")</f>
        <v/>
      </c>
      <c r="Z8" s="29" t="str">
        <f>IF(ISNUMBER($D8),ROUND(VLOOKUP((CONCATENATE(Z$6,$D8)),#REF!,14,FALSE),tblIndicators!$T3),"")</f>
        <v/>
      </c>
      <c r="AA8" s="29" t="str">
        <f>IF(ISNUMBER($D8),ROUND(VLOOKUP((CONCATENATE(AA$6,$D8)),#REF!,14,FALSE),tblIndicators!$T3),"")</f>
        <v/>
      </c>
      <c r="AB8" s="29" t="str">
        <f>IF(ISNUMBER($D8),ROUND(VLOOKUP((CONCATENATE(AB$6,$D8)),#REF!,14,FALSE),tblIndicators!$T3),"")</f>
        <v/>
      </c>
      <c r="AC8" s="29" t="str">
        <f>IF(ISNUMBER($D8),ROUND(VLOOKUP((CONCATENATE(AC$6,$D8)),#REF!,14,FALSE),tblIndicators!$T3),"")</f>
        <v/>
      </c>
      <c r="AD8" s="29" t="str">
        <f>IF(ISNUMBER($D8),ROUND(VLOOKUP((CONCATENATE(AD$6,$D8)),#REF!,14,FALSE),tblIndicators!$T3),"")</f>
        <v/>
      </c>
      <c r="AE8" s="29" t="str">
        <f>IF(ISNUMBER($D8),ROUND(VLOOKUP((CONCATENATE(AE$6,$D8)),#REF!,14,FALSE),tblIndicators!$T3),"")</f>
        <v/>
      </c>
      <c r="AF8" s="29" t="str">
        <f>IF(ISNUMBER($D8),ROUND(VLOOKUP((CONCATENATE(AF$6,$D8)),#REF!,14,FALSE),tblIndicators!$T3),"")</f>
        <v/>
      </c>
      <c r="AG8" s="29" t="str">
        <f>IF(ISNUMBER($D8),ROUND(VLOOKUP((CONCATENATE(AG$6,$D8)),#REF!,14,FALSE),tblIndicators!$T3),"")</f>
        <v/>
      </c>
      <c r="AH8" s="29" t="str">
        <f>IF(ISNUMBER($D8),ROUND(VLOOKUP((CONCATENATE(AH$6,$D8)),#REF!,14,FALSE),tblIndicators!$T3),"")</f>
        <v/>
      </c>
      <c r="AI8" s="29" t="str">
        <f>IF(ISNUMBER($D8),ROUND(VLOOKUP((CONCATENATE(AI$6,$D8)),#REF!,14,FALSE),tblIndicators!$T3),"")</f>
        <v/>
      </c>
      <c r="AJ8" s="29" t="str">
        <f>IF(ISNUMBER($D8),ROUND(VLOOKUP((CONCATENATE(AJ$6,$D8)),#REF!,14,FALSE),tblIndicators!$T3),"")</f>
        <v/>
      </c>
      <c r="AK8" s="29" t="str">
        <f>IF(ISNUMBER($D8),ROUND(VLOOKUP((CONCATENATE(AK$6,$D8)),#REF!,14,FALSE),tblIndicators!$T3),"")</f>
        <v/>
      </c>
      <c r="AL8" s="29" t="str">
        <f>IF(ISNUMBER($D8),ROUND(VLOOKUP((CONCATENATE(AL$6,$D8)),#REF!,14,FALSE),tblIndicators!$T3),"")</f>
        <v/>
      </c>
      <c r="AM8" s="29" t="str">
        <f>IF(ISNUMBER($D8),ROUND(VLOOKUP((CONCATENATE(AM$6,$D8)),#REF!,14,FALSE),tblIndicators!$T3),"")</f>
        <v/>
      </c>
      <c r="AN8" s="29" t="str">
        <f>IF(ISNUMBER($D8),ROUND(VLOOKUP((CONCATENATE(AN$6,$D8)),#REF!,14,FALSE),tblIndicators!$T3),"")</f>
        <v/>
      </c>
      <c r="AO8" s="29" t="str">
        <f>IF(ISNUMBER($D8),ROUND(VLOOKUP((CONCATENATE(AO$6,$D8)),#REF!,14,FALSE),tblIndicators!$T3),"")</f>
        <v/>
      </c>
      <c r="AP8" s="29" t="str">
        <f>IF(ISNUMBER($D8),ROUND(VLOOKUP((CONCATENATE(AP$6,$D8)),#REF!,14,FALSE),tblIndicators!$T3),"")</f>
        <v/>
      </c>
      <c r="AQ8" s="29" t="str">
        <f>IF(ISNUMBER($D8),ROUND(VLOOKUP((CONCATENATE(AQ$6,$D8)),#REF!,14,FALSE),tblIndicators!$T3),"")</f>
        <v/>
      </c>
      <c r="AR8" s="29" t="str">
        <f>IF(ISNUMBER($D8),ROUND(VLOOKUP((CONCATENATE(AR$6,$D8)),#REF!,14,FALSE),tblIndicators!$T3),"")</f>
        <v/>
      </c>
      <c r="AS8" s="29" t="str">
        <f>IF(ISNUMBER($D8),ROUND(VLOOKUP((CONCATENATE(AS$6,$D8)),#REF!,14,FALSE),tblIndicators!$T3),"")</f>
        <v/>
      </c>
      <c r="AT8" s="29" t="str">
        <f>IF(ISNUMBER($D8),ROUND(VLOOKUP((CONCATENATE(AT$6,$D8)),#REF!,14,FALSE),tblIndicators!$T3),"")</f>
        <v/>
      </c>
      <c r="AU8" s="29" t="str">
        <f>IF(ISNUMBER($D8),ROUND(VLOOKUP((CONCATENATE(AU$6,$D8)),#REF!,14,FALSE),tblIndicators!$T3),"")</f>
        <v/>
      </c>
      <c r="AV8" s="29" t="str">
        <f>IF(ISNUMBER($D8),ROUND(VLOOKUP((CONCATENATE(AV$6,$D8)),#REF!,14,FALSE),tblIndicators!$T3),"")</f>
        <v/>
      </c>
      <c r="AW8" s="29" t="str">
        <f>IF(ISNUMBER($D8),ROUND(VLOOKUP((CONCATENATE(AW$6,$D8)),#REF!,14,FALSE),tblIndicators!$T3),"")</f>
        <v/>
      </c>
      <c r="AX8" s="29" t="str">
        <f>IF(ISNUMBER($D8),ROUND(VLOOKUP((CONCATENATE(AX$6,$D8)),#REF!,14,FALSE),tblIndicators!$T3),"")</f>
        <v/>
      </c>
      <c r="AY8" s="29" t="str">
        <f>IF(ISNUMBER($D8),ROUND(VLOOKUP((CONCATENATE(AY$6,$D8)),#REF!,14,FALSE),tblIndicators!$T3),"")</f>
        <v/>
      </c>
      <c r="AZ8" s="29" t="str">
        <f>IF(ISNUMBER($D8),ROUND(VLOOKUP((CONCATENATE(AZ$6,$D8)),#REF!,14,FALSE),tblIndicators!$T3),"")</f>
        <v/>
      </c>
      <c r="BA8" s="29" t="str">
        <f>IF(ISNUMBER($D8),ROUND(VLOOKUP((CONCATENATE(BA$6,$D8)),#REF!,14,FALSE),tblIndicators!$T3),"")</f>
        <v/>
      </c>
      <c r="BB8" s="29" t="str">
        <f>IF(ISNUMBER($D8),ROUND(VLOOKUP((CONCATENATE(BB$6,$D8)),#REF!,14,FALSE),tblIndicators!$T3),"")</f>
        <v/>
      </c>
      <c r="BC8" s="29" t="str">
        <f>IF(ISNUMBER($D8),ROUND(VLOOKUP((CONCATENATE(BC$6,$D8)),#REF!,14,FALSE),tblIndicators!$T3),"")</f>
        <v/>
      </c>
      <c r="BD8" s="29" t="str">
        <f>IF(ISNUMBER($D8),ROUND(VLOOKUP((CONCATENATE(BD$6,$D8)),#REF!,14,FALSE),tblIndicators!$T3),"")</f>
        <v/>
      </c>
    </row>
    <row r="9" s="21" customFormat="1" spans="1:56">
      <c r="A9" s="30"/>
      <c r="B9" s="31">
        <f>tblIndicators!D4</f>
        <v>2</v>
      </c>
      <c r="C9" s="30">
        <f>tblIndicators!M4</f>
        <v>1</v>
      </c>
      <c r="D9" s="30"/>
      <c r="E9" s="31" t="str">
        <f>tblIndicators!Z4</f>
        <v>1.1) Digital Security (Inputs)</v>
      </c>
      <c r="F9" s="32" t="str">
        <f>IF($C9&gt;1,tblIndicators!J4,"")</f>
        <v/>
      </c>
      <c r="G9" s="29" t="str">
        <f>IF(ISNUMBER($D9),ROUND(VLOOKUP((CONCATENATE(G$6,$D9)),#REF!,14,FALSE),tblIndicators!$T4),"")</f>
        <v/>
      </c>
      <c r="H9" s="29" t="str">
        <f>IF(ISNUMBER($D9),ROUND(VLOOKUP((CONCATENATE(H$6,$D9)),#REF!,14,FALSE),tblIndicators!$T4),"")</f>
        <v/>
      </c>
      <c r="I9" s="29" t="str">
        <f>IF(ISNUMBER($D9),ROUND(VLOOKUP((CONCATENATE(I$6,$D9)),#REF!,14,FALSE),tblIndicators!$T4),"")</f>
        <v/>
      </c>
      <c r="J9" s="29" t="str">
        <f>IF(ISNUMBER($D9),ROUND(VLOOKUP((CONCATENATE(J$6,$D9)),#REF!,14,FALSE),tblIndicators!$T4),"")</f>
        <v/>
      </c>
      <c r="K9" s="29" t="str">
        <f>IF(ISNUMBER($D9),ROUND(VLOOKUP((CONCATENATE(K$6,$D9)),#REF!,14,FALSE),tblIndicators!$T4),"")</f>
        <v/>
      </c>
      <c r="L9" s="29" t="str">
        <f>IF(ISNUMBER($D9),ROUND(VLOOKUP((CONCATENATE(L$6,$D9)),#REF!,14,FALSE),tblIndicators!$T4),"")</f>
        <v/>
      </c>
      <c r="M9" s="29" t="str">
        <f>IF(ISNUMBER($D9),ROUND(VLOOKUP((CONCATENATE(M$6,$D9)),#REF!,14,FALSE),tblIndicators!$T4),"")</f>
        <v/>
      </c>
      <c r="N9" s="29" t="str">
        <f>IF(ISNUMBER($D9),ROUND(VLOOKUP((CONCATENATE(N$6,$D9)),#REF!,14,FALSE),tblIndicators!$T4),"")</f>
        <v/>
      </c>
      <c r="O9" s="29" t="str">
        <f>IF(ISNUMBER($D9),ROUND(VLOOKUP((CONCATENATE(O$6,$D9)),#REF!,14,FALSE),tblIndicators!$T4),"")</f>
        <v/>
      </c>
      <c r="P9" s="29" t="str">
        <f>IF(ISNUMBER($D9),ROUND(VLOOKUP((CONCATENATE(P$6,$D9)),#REF!,14,FALSE),tblIndicators!$T4),"")</f>
        <v/>
      </c>
      <c r="Q9" s="29" t="str">
        <f>IF(ISNUMBER($D9),ROUND(VLOOKUP((CONCATENATE(Q$6,$D9)),#REF!,14,FALSE),tblIndicators!$T4),"")</f>
        <v/>
      </c>
      <c r="R9" s="29" t="str">
        <f>IF(ISNUMBER($D9),ROUND(VLOOKUP((CONCATENATE(R$6,$D9)),#REF!,14,FALSE),tblIndicators!$T4),"")</f>
        <v/>
      </c>
      <c r="S9" s="29" t="str">
        <f>IF(ISNUMBER($D9),ROUND(VLOOKUP((CONCATENATE(S$6,$D9)),#REF!,14,FALSE),tblIndicators!$T4),"")</f>
        <v/>
      </c>
      <c r="T9" s="29" t="str">
        <f>IF(ISNUMBER($D9),ROUND(VLOOKUP((CONCATENATE(T$6,$D9)),#REF!,14,FALSE),tblIndicators!$T4),"")</f>
        <v/>
      </c>
      <c r="U9" s="29" t="str">
        <f>IF(ISNUMBER($D9),ROUND(VLOOKUP((CONCATENATE(U$6,$D9)),#REF!,14,FALSE),tblIndicators!$T4),"")</f>
        <v/>
      </c>
      <c r="V9" s="29" t="str">
        <f>IF(ISNUMBER($D9),ROUND(VLOOKUP((CONCATENATE(V$6,$D9)),#REF!,14,FALSE),tblIndicators!$T4),"")</f>
        <v/>
      </c>
      <c r="W9" s="29" t="str">
        <f>IF(ISNUMBER($D9),ROUND(VLOOKUP((CONCATENATE(W$6,$D9)),#REF!,14,FALSE),tblIndicators!$T4),"")</f>
        <v/>
      </c>
      <c r="X9" s="29" t="str">
        <f>IF(ISNUMBER($D9),ROUND(VLOOKUP((CONCATENATE(X$6,$D9)),#REF!,14,FALSE),tblIndicators!$T4),"")</f>
        <v/>
      </c>
      <c r="Y9" s="29" t="str">
        <f>IF(ISNUMBER($D9),ROUND(VLOOKUP((CONCATENATE(Y$6,$D9)),#REF!,14,FALSE),tblIndicators!$T4),"")</f>
        <v/>
      </c>
      <c r="Z9" s="29" t="str">
        <f>IF(ISNUMBER($D9),ROUND(VLOOKUP((CONCATENATE(Z$6,$D9)),#REF!,14,FALSE),tblIndicators!$T4),"")</f>
        <v/>
      </c>
      <c r="AA9" s="29" t="str">
        <f>IF(ISNUMBER($D9),ROUND(VLOOKUP((CONCATENATE(AA$6,$D9)),#REF!,14,FALSE),tblIndicators!$T4),"")</f>
        <v/>
      </c>
      <c r="AB9" s="29" t="str">
        <f>IF(ISNUMBER($D9),ROUND(VLOOKUP((CONCATENATE(AB$6,$D9)),#REF!,14,FALSE),tblIndicators!$T4),"")</f>
        <v/>
      </c>
      <c r="AC9" s="29" t="str">
        <f>IF(ISNUMBER($D9),ROUND(VLOOKUP((CONCATENATE(AC$6,$D9)),#REF!,14,FALSE),tblIndicators!$T4),"")</f>
        <v/>
      </c>
      <c r="AD9" s="29" t="str">
        <f>IF(ISNUMBER($D9),ROUND(VLOOKUP((CONCATENATE(AD$6,$D9)),#REF!,14,FALSE),tblIndicators!$T4),"")</f>
        <v/>
      </c>
      <c r="AE9" s="29" t="str">
        <f>IF(ISNUMBER($D9),ROUND(VLOOKUP((CONCATENATE(AE$6,$D9)),#REF!,14,FALSE),tblIndicators!$T4),"")</f>
        <v/>
      </c>
      <c r="AF9" s="29" t="str">
        <f>IF(ISNUMBER($D9),ROUND(VLOOKUP((CONCATENATE(AF$6,$D9)),#REF!,14,FALSE),tblIndicators!$T4),"")</f>
        <v/>
      </c>
      <c r="AG9" s="29" t="str">
        <f>IF(ISNUMBER($D9),ROUND(VLOOKUP((CONCATENATE(AG$6,$D9)),#REF!,14,FALSE),tblIndicators!$T4),"")</f>
        <v/>
      </c>
      <c r="AH9" s="29" t="str">
        <f>IF(ISNUMBER($D9),ROUND(VLOOKUP((CONCATENATE(AH$6,$D9)),#REF!,14,FALSE),tblIndicators!$T4),"")</f>
        <v/>
      </c>
      <c r="AI9" s="29" t="str">
        <f>IF(ISNUMBER($D9),ROUND(VLOOKUP((CONCATENATE(AI$6,$D9)),#REF!,14,FALSE),tblIndicators!$T4),"")</f>
        <v/>
      </c>
      <c r="AJ9" s="29" t="str">
        <f>IF(ISNUMBER($D9),ROUND(VLOOKUP((CONCATENATE(AJ$6,$D9)),#REF!,14,FALSE),tblIndicators!$T4),"")</f>
        <v/>
      </c>
      <c r="AK9" s="29" t="str">
        <f>IF(ISNUMBER($D9),ROUND(VLOOKUP((CONCATENATE(AK$6,$D9)),#REF!,14,FALSE),tblIndicators!$T4),"")</f>
        <v/>
      </c>
      <c r="AL9" s="29" t="str">
        <f>IF(ISNUMBER($D9),ROUND(VLOOKUP((CONCATENATE(AL$6,$D9)),#REF!,14,FALSE),tblIndicators!$T4),"")</f>
        <v/>
      </c>
      <c r="AM9" s="29" t="str">
        <f>IF(ISNUMBER($D9),ROUND(VLOOKUP((CONCATENATE(AM$6,$D9)),#REF!,14,FALSE),tblIndicators!$T4),"")</f>
        <v/>
      </c>
      <c r="AN9" s="29" t="str">
        <f>IF(ISNUMBER($D9),ROUND(VLOOKUP((CONCATENATE(AN$6,$D9)),#REF!,14,FALSE),tblIndicators!$T4),"")</f>
        <v/>
      </c>
      <c r="AO9" s="29" t="str">
        <f>IF(ISNUMBER($D9),ROUND(VLOOKUP((CONCATENATE(AO$6,$D9)),#REF!,14,FALSE),tblIndicators!$T4),"")</f>
        <v/>
      </c>
      <c r="AP9" s="29" t="str">
        <f>IF(ISNUMBER($D9),ROUND(VLOOKUP((CONCATENATE(AP$6,$D9)),#REF!,14,FALSE),tblIndicators!$T4),"")</f>
        <v/>
      </c>
      <c r="AQ9" s="29" t="str">
        <f>IF(ISNUMBER($D9),ROUND(VLOOKUP((CONCATENATE(AQ$6,$D9)),#REF!,14,FALSE),tblIndicators!$T4),"")</f>
        <v/>
      </c>
      <c r="AR9" s="29" t="str">
        <f>IF(ISNUMBER($D9),ROUND(VLOOKUP((CONCATENATE(AR$6,$D9)),#REF!,14,FALSE),tblIndicators!$T4),"")</f>
        <v/>
      </c>
      <c r="AS9" s="29" t="str">
        <f>IF(ISNUMBER($D9),ROUND(VLOOKUP((CONCATENATE(AS$6,$D9)),#REF!,14,FALSE),tblIndicators!$T4),"")</f>
        <v/>
      </c>
      <c r="AT9" s="29" t="str">
        <f>IF(ISNUMBER($D9),ROUND(VLOOKUP((CONCATENATE(AT$6,$D9)),#REF!,14,FALSE),tblIndicators!$T4),"")</f>
        <v/>
      </c>
      <c r="AU9" s="29" t="str">
        <f>IF(ISNUMBER($D9),ROUND(VLOOKUP((CONCATENATE(AU$6,$D9)),#REF!,14,FALSE),tblIndicators!$T4),"")</f>
        <v/>
      </c>
      <c r="AV9" s="29" t="str">
        <f>IF(ISNUMBER($D9),ROUND(VLOOKUP((CONCATENATE(AV$6,$D9)),#REF!,14,FALSE),tblIndicators!$T4),"")</f>
        <v/>
      </c>
      <c r="AW9" s="29" t="str">
        <f>IF(ISNUMBER($D9),ROUND(VLOOKUP((CONCATENATE(AW$6,$D9)),#REF!,14,FALSE),tblIndicators!$T4),"")</f>
        <v/>
      </c>
      <c r="AX9" s="29" t="str">
        <f>IF(ISNUMBER($D9),ROUND(VLOOKUP((CONCATENATE(AX$6,$D9)),#REF!,14,FALSE),tblIndicators!$T4),"")</f>
        <v/>
      </c>
      <c r="AY9" s="29" t="str">
        <f>IF(ISNUMBER($D9),ROUND(VLOOKUP((CONCATENATE(AY$6,$D9)),#REF!,14,FALSE),tblIndicators!$T4),"")</f>
        <v/>
      </c>
      <c r="AZ9" s="29" t="str">
        <f>IF(ISNUMBER($D9),ROUND(VLOOKUP((CONCATENATE(AZ$6,$D9)),#REF!,14,FALSE),tblIndicators!$T4),"")</f>
        <v/>
      </c>
      <c r="BA9" s="29" t="str">
        <f>IF(ISNUMBER($D9),ROUND(VLOOKUP((CONCATENATE(BA$6,$D9)),#REF!,14,FALSE),tblIndicators!$T4),"")</f>
        <v/>
      </c>
      <c r="BB9" s="29" t="str">
        <f>IF(ISNUMBER($D9),ROUND(VLOOKUP((CONCATENATE(BB$6,$D9)),#REF!,14,FALSE),tblIndicators!$T4),"")</f>
        <v/>
      </c>
      <c r="BC9" s="29" t="str">
        <f>IF(ISNUMBER($D9),ROUND(VLOOKUP((CONCATENATE(BC$6,$D9)),#REF!,14,FALSE),tblIndicators!$T4),"")</f>
        <v/>
      </c>
      <c r="BD9" s="29" t="str">
        <f>IF(ISNUMBER($D9),ROUND(VLOOKUP((CONCATENATE(BD$6,$D9)),#REF!,14,FALSE),tblIndicators!$T4),"")</f>
        <v/>
      </c>
    </row>
    <row r="10" s="22" customFormat="1" spans="1:56">
      <c r="A10" s="24"/>
      <c r="B10" s="33">
        <f>tblIndicators!D5</f>
        <v>3</v>
      </c>
      <c r="C10" s="24">
        <f>tblIndicators!M5</f>
        <v>3</v>
      </c>
      <c r="D10" s="24">
        <v>1</v>
      </c>
      <c r="E10" s="33" t="str">
        <f>tblIndicators!Z5</f>
        <v>1.1.1) Privacy policy</v>
      </c>
      <c r="F10" s="28" t="str">
        <f>IF($C10&gt;1,tblIndicators!J5,"")</f>
        <v>Scale 0-5</v>
      </c>
      <c r="G10" s="29">
        <v>1</v>
      </c>
      <c r="H10" s="29">
        <v>4</v>
      </c>
      <c r="I10" s="29">
        <v>5</v>
      </c>
      <c r="J10" s="29">
        <v>2</v>
      </c>
      <c r="K10" s="29">
        <v>2</v>
      </c>
      <c r="L10" s="29">
        <v>2</v>
      </c>
      <c r="M10" s="29">
        <v>2</v>
      </c>
      <c r="N10" s="29">
        <v>3</v>
      </c>
      <c r="O10" s="29">
        <v>3</v>
      </c>
      <c r="P10" s="29">
        <v>2</v>
      </c>
      <c r="Q10" s="29">
        <v>3</v>
      </c>
      <c r="R10" s="29">
        <v>2</v>
      </c>
      <c r="S10" s="29">
        <v>2</v>
      </c>
      <c r="T10" s="29">
        <v>2</v>
      </c>
      <c r="U10" s="29">
        <v>2</v>
      </c>
      <c r="V10" s="29">
        <v>3</v>
      </c>
      <c r="W10" s="29">
        <v>3</v>
      </c>
      <c r="X10" s="29">
        <v>3</v>
      </c>
      <c r="Y10" s="29">
        <v>1</v>
      </c>
      <c r="Z10" s="29">
        <v>1</v>
      </c>
      <c r="AA10" s="29">
        <v>1</v>
      </c>
      <c r="AB10" s="29">
        <v>1</v>
      </c>
      <c r="AC10" s="29">
        <v>1</v>
      </c>
      <c r="AD10" s="29">
        <v>2</v>
      </c>
      <c r="AE10" s="29">
        <v>2</v>
      </c>
      <c r="AF10" s="29">
        <v>2</v>
      </c>
      <c r="AG10" s="29">
        <v>1</v>
      </c>
      <c r="AH10" s="29">
        <v>2</v>
      </c>
      <c r="AI10" s="29">
        <v>2</v>
      </c>
      <c r="AJ10" s="29">
        <v>2</v>
      </c>
      <c r="AK10" s="29">
        <v>4</v>
      </c>
      <c r="AL10" s="29">
        <v>2</v>
      </c>
      <c r="AM10" s="29">
        <v>1</v>
      </c>
      <c r="AN10" s="49">
        <v>1</v>
      </c>
      <c r="AO10" s="49">
        <v>2</v>
      </c>
      <c r="AP10" s="49">
        <v>3</v>
      </c>
      <c r="AQ10" s="49">
        <v>2</v>
      </c>
      <c r="AR10" s="49">
        <v>4</v>
      </c>
      <c r="AS10" s="29">
        <v>5</v>
      </c>
      <c r="AT10" s="29">
        <v>3</v>
      </c>
      <c r="AU10" s="29">
        <v>4</v>
      </c>
      <c r="AV10" s="29">
        <v>4</v>
      </c>
      <c r="AW10" s="29">
        <v>4</v>
      </c>
      <c r="AX10" s="29">
        <v>5</v>
      </c>
      <c r="AY10" s="29">
        <v>2</v>
      </c>
      <c r="AZ10" s="29">
        <v>3</v>
      </c>
      <c r="BA10" s="29">
        <v>3</v>
      </c>
      <c r="BB10" s="29">
        <v>3</v>
      </c>
      <c r="BC10" s="29">
        <v>2</v>
      </c>
      <c r="BD10" s="29">
        <v>3</v>
      </c>
    </row>
    <row r="11" s="22" customFormat="1" spans="1:56">
      <c r="A11" s="24"/>
      <c r="B11" s="33">
        <f>tblIndicators!D6</f>
        <v>3</v>
      </c>
      <c r="C11" s="24">
        <f>tblIndicators!M6</f>
        <v>3</v>
      </c>
      <c r="D11" s="24">
        <v>1</v>
      </c>
      <c r="E11" s="33" t="str">
        <f>tblIndicators!Z6</f>
        <v>1.1.2) Citizen awareness of digital threats</v>
      </c>
      <c r="F11" s="28" t="str">
        <f>IF($C11&gt;1,tblIndicators!J6,"")</f>
        <v>Scale 0-3</v>
      </c>
      <c r="G11" s="34">
        <v>2</v>
      </c>
      <c r="H11" s="34">
        <v>1</v>
      </c>
      <c r="I11" s="34">
        <v>2</v>
      </c>
      <c r="J11" s="34">
        <v>1</v>
      </c>
      <c r="K11" s="34">
        <v>1</v>
      </c>
      <c r="L11" s="34">
        <v>2</v>
      </c>
      <c r="M11" s="34">
        <v>2</v>
      </c>
      <c r="N11" s="34">
        <v>2</v>
      </c>
      <c r="O11" s="34">
        <v>2</v>
      </c>
      <c r="P11" s="34">
        <v>2</v>
      </c>
      <c r="Q11" s="34">
        <v>2</v>
      </c>
      <c r="R11" s="34">
        <v>2</v>
      </c>
      <c r="S11" s="34">
        <v>2</v>
      </c>
      <c r="T11" s="34">
        <v>2</v>
      </c>
      <c r="U11" s="34">
        <v>2</v>
      </c>
      <c r="V11" s="34">
        <v>2</v>
      </c>
      <c r="W11" s="34">
        <v>2</v>
      </c>
      <c r="X11" s="34">
        <v>2</v>
      </c>
      <c r="Y11" s="34">
        <v>1</v>
      </c>
      <c r="Z11" s="34">
        <v>1</v>
      </c>
      <c r="AA11" s="34">
        <v>1</v>
      </c>
      <c r="AB11" s="34">
        <v>1</v>
      </c>
      <c r="AC11" s="34">
        <v>1</v>
      </c>
      <c r="AD11" s="34">
        <v>3</v>
      </c>
      <c r="AE11" s="34">
        <v>3</v>
      </c>
      <c r="AF11" s="34">
        <v>2</v>
      </c>
      <c r="AG11" s="34">
        <v>0</v>
      </c>
      <c r="AH11" s="34">
        <v>1</v>
      </c>
      <c r="AI11" s="34">
        <v>1</v>
      </c>
      <c r="AJ11" s="34">
        <v>2</v>
      </c>
      <c r="AK11" s="34">
        <v>2</v>
      </c>
      <c r="AL11" s="34">
        <v>1</v>
      </c>
      <c r="AM11" s="34">
        <v>1</v>
      </c>
      <c r="AN11" s="34">
        <v>1</v>
      </c>
      <c r="AO11" s="34">
        <v>1</v>
      </c>
      <c r="AP11" s="34">
        <v>1</v>
      </c>
      <c r="AQ11" s="34">
        <v>1</v>
      </c>
      <c r="AR11" s="34">
        <v>2</v>
      </c>
      <c r="AS11" s="34">
        <v>2</v>
      </c>
      <c r="AT11" s="34">
        <v>0</v>
      </c>
      <c r="AU11" s="34">
        <v>1</v>
      </c>
      <c r="AV11" s="34">
        <v>0</v>
      </c>
      <c r="AW11" s="34">
        <v>0</v>
      </c>
      <c r="AX11" s="34">
        <v>1</v>
      </c>
      <c r="AY11" s="34">
        <v>1</v>
      </c>
      <c r="AZ11" s="34">
        <v>2</v>
      </c>
      <c r="BA11" s="34">
        <v>2</v>
      </c>
      <c r="BB11" s="34">
        <v>1</v>
      </c>
      <c r="BC11" s="34">
        <v>1</v>
      </c>
      <c r="BD11" s="34">
        <v>2</v>
      </c>
    </row>
    <row r="12" s="22" customFormat="1" spans="1:56">
      <c r="A12" s="24"/>
      <c r="B12" s="33">
        <f>tblIndicators!D7</f>
        <v>3</v>
      </c>
      <c r="C12" s="24">
        <f>tblIndicators!M7</f>
        <v>3</v>
      </c>
      <c r="D12" s="24">
        <v>1</v>
      </c>
      <c r="E12" s="33" t="str">
        <f>tblIndicators!Z7</f>
        <v>1.1.3) City reliance on digital infrastructure</v>
      </c>
      <c r="F12" s="28" t="str">
        <f>IF($C12&gt;1,tblIndicators!J7,"")</f>
        <v>Scale 0-2</v>
      </c>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49"/>
      <c r="AO12" s="49"/>
      <c r="AP12" s="49"/>
      <c r="AQ12" s="49"/>
      <c r="AR12" s="49"/>
      <c r="AS12" s="29"/>
      <c r="AT12" s="29"/>
      <c r="AU12" s="29"/>
      <c r="AV12" s="29"/>
      <c r="AW12" s="29"/>
      <c r="AX12" s="29"/>
      <c r="AY12" s="29"/>
      <c r="AZ12" s="29"/>
      <c r="BA12" s="29"/>
      <c r="BB12" s="29"/>
      <c r="BC12" s="29"/>
      <c r="BD12" s="29"/>
    </row>
    <row r="13" s="22" customFormat="1" spans="1:56">
      <c r="A13" s="24"/>
      <c r="B13" s="33">
        <f>tblIndicators!D8</f>
        <v>3</v>
      </c>
      <c r="C13" s="24">
        <f>tblIndicators!M8</f>
        <v>3</v>
      </c>
      <c r="D13" s="24">
        <v>1</v>
      </c>
      <c r="E13" s="33" t="str">
        <f>tblIndicators!Z8</f>
        <v>1.1.4) Public-private partnerships</v>
      </c>
      <c r="F13" s="28" t="str">
        <f>IF($C13&gt;1,tblIndicators!J8,"")</f>
        <v>Scale 0-2</v>
      </c>
      <c r="G13" s="34">
        <v>1</v>
      </c>
      <c r="H13" s="34">
        <v>1</v>
      </c>
      <c r="I13" s="34">
        <v>0</v>
      </c>
      <c r="J13" s="34">
        <v>1</v>
      </c>
      <c r="K13" s="34">
        <v>1</v>
      </c>
      <c r="L13" s="34">
        <v>1</v>
      </c>
      <c r="M13" s="34">
        <v>1</v>
      </c>
      <c r="N13" s="34">
        <v>1</v>
      </c>
      <c r="O13" s="34">
        <v>2</v>
      </c>
      <c r="P13" s="34">
        <v>1</v>
      </c>
      <c r="Q13" s="34">
        <v>1</v>
      </c>
      <c r="R13" s="34">
        <v>1</v>
      </c>
      <c r="S13" s="34">
        <v>1</v>
      </c>
      <c r="T13" s="34">
        <v>2</v>
      </c>
      <c r="U13" s="34">
        <v>1</v>
      </c>
      <c r="V13" s="34">
        <v>1</v>
      </c>
      <c r="W13" s="34">
        <v>1</v>
      </c>
      <c r="X13" s="34">
        <v>2</v>
      </c>
      <c r="Y13" s="34">
        <v>1</v>
      </c>
      <c r="Z13" s="34">
        <v>1</v>
      </c>
      <c r="AA13" s="34">
        <v>1</v>
      </c>
      <c r="AB13" s="34">
        <v>1</v>
      </c>
      <c r="AC13" s="34">
        <v>1</v>
      </c>
      <c r="AD13" s="34">
        <v>2</v>
      </c>
      <c r="AE13" s="34">
        <v>2</v>
      </c>
      <c r="AF13" s="34">
        <v>0</v>
      </c>
      <c r="AG13" s="34">
        <v>0</v>
      </c>
      <c r="AH13" s="34">
        <v>2</v>
      </c>
      <c r="AI13" s="34">
        <v>1</v>
      </c>
      <c r="AJ13" s="34">
        <v>2</v>
      </c>
      <c r="AK13" s="34">
        <v>1</v>
      </c>
      <c r="AL13" s="34">
        <v>0</v>
      </c>
      <c r="AM13" s="34">
        <v>1</v>
      </c>
      <c r="AN13" s="34">
        <v>1</v>
      </c>
      <c r="AO13" s="34">
        <v>1</v>
      </c>
      <c r="AP13" s="34">
        <v>0</v>
      </c>
      <c r="AQ13" s="34">
        <v>1</v>
      </c>
      <c r="AR13" s="34">
        <v>1</v>
      </c>
      <c r="AS13" s="34">
        <v>1</v>
      </c>
      <c r="AT13" s="34">
        <v>1</v>
      </c>
      <c r="AU13" s="34">
        <v>1</v>
      </c>
      <c r="AV13" s="34">
        <v>1</v>
      </c>
      <c r="AW13" s="34">
        <v>1</v>
      </c>
      <c r="AX13" s="34">
        <v>1</v>
      </c>
      <c r="AY13" s="34">
        <v>1</v>
      </c>
      <c r="AZ13" s="34">
        <v>1</v>
      </c>
      <c r="BA13" s="34">
        <v>0</v>
      </c>
      <c r="BB13" s="34">
        <v>1</v>
      </c>
      <c r="BC13" s="34">
        <v>0</v>
      </c>
      <c r="BD13" s="34">
        <v>1</v>
      </c>
    </row>
    <row r="14" s="22" customFormat="1" spans="1:56">
      <c r="A14" s="24"/>
      <c r="B14" s="33">
        <f>tblIndicators!D9</f>
        <v>3</v>
      </c>
      <c r="C14" s="24">
        <f>tblIndicators!M9</f>
        <v>3</v>
      </c>
      <c r="D14" s="24">
        <v>1</v>
      </c>
      <c r="E14" s="33" t="str">
        <f>tblIndicators!Z9</f>
        <v>1.1.5) Level of technology employed</v>
      </c>
      <c r="F14" s="28" t="str">
        <f>IF($C14&gt;1,tblIndicators!J9,"")</f>
        <v>Scale 0-100</v>
      </c>
      <c r="G14" s="34">
        <v>100</v>
      </c>
      <c r="H14" s="34">
        <v>75</v>
      </c>
      <c r="I14" s="34">
        <v>75</v>
      </c>
      <c r="J14" s="34">
        <v>75</v>
      </c>
      <c r="K14" s="34">
        <v>75</v>
      </c>
      <c r="L14" s="34">
        <v>100</v>
      </c>
      <c r="M14" s="34">
        <v>100</v>
      </c>
      <c r="N14" s="34">
        <v>100</v>
      </c>
      <c r="O14" s="34">
        <v>100</v>
      </c>
      <c r="P14" s="34">
        <v>100</v>
      </c>
      <c r="Q14" s="34">
        <v>75</v>
      </c>
      <c r="R14" s="34">
        <v>75</v>
      </c>
      <c r="S14" s="34">
        <v>75</v>
      </c>
      <c r="T14" s="34">
        <v>100</v>
      </c>
      <c r="U14" s="34">
        <v>100</v>
      </c>
      <c r="V14" s="34">
        <v>100</v>
      </c>
      <c r="W14" s="34">
        <v>100</v>
      </c>
      <c r="X14" s="34">
        <v>100</v>
      </c>
      <c r="Y14" s="34">
        <v>75</v>
      </c>
      <c r="Z14" s="34">
        <v>75</v>
      </c>
      <c r="AA14" s="34">
        <v>75</v>
      </c>
      <c r="AB14" s="34">
        <v>75</v>
      </c>
      <c r="AC14" s="34">
        <v>75</v>
      </c>
      <c r="AD14" s="34">
        <v>75</v>
      </c>
      <c r="AE14" s="34">
        <v>75</v>
      </c>
      <c r="AF14" s="34">
        <v>75</v>
      </c>
      <c r="AG14" s="34">
        <v>50</v>
      </c>
      <c r="AH14" s="34">
        <v>100</v>
      </c>
      <c r="AI14" s="34">
        <v>100</v>
      </c>
      <c r="AJ14" s="34">
        <v>100</v>
      </c>
      <c r="AK14" s="34">
        <v>100</v>
      </c>
      <c r="AL14" s="34">
        <v>100</v>
      </c>
      <c r="AM14" s="34">
        <v>75</v>
      </c>
      <c r="AN14" s="34">
        <v>75</v>
      </c>
      <c r="AO14" s="34">
        <v>75</v>
      </c>
      <c r="AP14" s="34">
        <v>75</v>
      </c>
      <c r="AQ14" s="34">
        <v>75</v>
      </c>
      <c r="AR14" s="34">
        <v>100</v>
      </c>
      <c r="AS14" s="34">
        <v>100</v>
      </c>
      <c r="AT14" s="34">
        <v>100</v>
      </c>
      <c r="AU14" s="34">
        <v>100</v>
      </c>
      <c r="AV14" s="34">
        <v>100</v>
      </c>
      <c r="AW14" s="34">
        <v>100</v>
      </c>
      <c r="AX14" s="34">
        <v>100</v>
      </c>
      <c r="AY14" s="34">
        <v>75</v>
      </c>
      <c r="AZ14" s="34">
        <v>100</v>
      </c>
      <c r="BA14" s="34">
        <v>100</v>
      </c>
      <c r="BB14" s="34">
        <v>100</v>
      </c>
      <c r="BC14" s="34">
        <v>75</v>
      </c>
      <c r="BD14" s="34">
        <v>100</v>
      </c>
    </row>
    <row r="15" s="22" customFormat="1" spans="1:56">
      <c r="A15" s="24"/>
      <c r="B15" s="33">
        <f>tblIndicators!D10</f>
        <v>3</v>
      </c>
      <c r="C15" s="24">
        <f>tblIndicators!M10</f>
        <v>3</v>
      </c>
      <c r="D15" s="24">
        <v>1</v>
      </c>
      <c r="E15" s="33" t="str">
        <f>tblIndicators!Z10</f>
        <v>1.1.6) Dedicated cyber security teams</v>
      </c>
      <c r="F15" s="28" t="str">
        <f>IF($C15&gt;1,tblIndicators!J10,"")</f>
        <v>Scale 0-2</v>
      </c>
      <c r="G15" s="34">
        <v>1</v>
      </c>
      <c r="H15" s="34">
        <v>1</v>
      </c>
      <c r="I15" s="34">
        <v>1</v>
      </c>
      <c r="J15" s="34">
        <v>1</v>
      </c>
      <c r="K15" s="34">
        <v>1</v>
      </c>
      <c r="L15" s="34">
        <v>2</v>
      </c>
      <c r="M15" s="34">
        <v>2</v>
      </c>
      <c r="N15" s="34">
        <v>2</v>
      </c>
      <c r="O15" s="34">
        <v>1</v>
      </c>
      <c r="P15" s="34">
        <v>2</v>
      </c>
      <c r="Q15" s="34">
        <v>1</v>
      </c>
      <c r="R15" s="34">
        <v>1</v>
      </c>
      <c r="S15" s="34">
        <v>1</v>
      </c>
      <c r="T15" s="34">
        <v>2</v>
      </c>
      <c r="U15" s="34">
        <v>1</v>
      </c>
      <c r="V15" s="34">
        <v>2</v>
      </c>
      <c r="W15" s="34">
        <v>1</v>
      </c>
      <c r="X15" s="34">
        <v>2</v>
      </c>
      <c r="Y15" s="34">
        <v>1</v>
      </c>
      <c r="Z15" s="34">
        <v>1</v>
      </c>
      <c r="AA15" s="34">
        <v>2</v>
      </c>
      <c r="AB15" s="34">
        <v>1</v>
      </c>
      <c r="AC15" s="34">
        <v>1</v>
      </c>
      <c r="AD15" s="34">
        <v>2</v>
      </c>
      <c r="AE15" s="34">
        <v>1</v>
      </c>
      <c r="AF15" s="34">
        <v>1</v>
      </c>
      <c r="AG15" s="34">
        <v>1</v>
      </c>
      <c r="AH15" s="34">
        <v>2</v>
      </c>
      <c r="AI15" s="34">
        <v>1</v>
      </c>
      <c r="AJ15" s="34">
        <v>2</v>
      </c>
      <c r="AK15" s="34">
        <v>1</v>
      </c>
      <c r="AL15" s="34">
        <v>1</v>
      </c>
      <c r="AM15" s="34">
        <v>1</v>
      </c>
      <c r="AN15" s="34">
        <v>1</v>
      </c>
      <c r="AO15" s="34">
        <v>1</v>
      </c>
      <c r="AP15" s="34">
        <v>1</v>
      </c>
      <c r="AQ15" s="34">
        <v>1</v>
      </c>
      <c r="AR15" s="34">
        <v>2</v>
      </c>
      <c r="AS15" s="34">
        <v>1</v>
      </c>
      <c r="AT15" s="34">
        <v>1</v>
      </c>
      <c r="AU15" s="34">
        <v>1</v>
      </c>
      <c r="AV15" s="34">
        <v>1</v>
      </c>
      <c r="AW15" s="34">
        <v>2</v>
      </c>
      <c r="AX15" s="34">
        <v>1</v>
      </c>
      <c r="AY15" s="34">
        <v>1</v>
      </c>
      <c r="AZ15" s="34">
        <v>1</v>
      </c>
      <c r="BA15" s="34">
        <v>2</v>
      </c>
      <c r="BB15" s="34">
        <v>1</v>
      </c>
      <c r="BC15" s="34">
        <v>1</v>
      </c>
      <c r="BD15" s="34">
        <v>1</v>
      </c>
    </row>
    <row r="16" s="21" customFormat="1" spans="1:56">
      <c r="A16" s="30"/>
      <c r="B16" s="31">
        <f>tblIndicators!D11</f>
        <v>2</v>
      </c>
      <c r="C16" s="30">
        <f>tblIndicators!M11</f>
        <v>1</v>
      </c>
      <c r="D16" s="30">
        <v>1</v>
      </c>
      <c r="E16" s="31" t="str">
        <f>tblIndicators!Z11</f>
        <v>1.2) Digital Security (Outputs)</v>
      </c>
      <c r="F16" s="32" t="str">
        <f>IF($C16&gt;1,tblIndicators!J11,"")</f>
        <v/>
      </c>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row>
    <row r="17" s="22" customFormat="1" spans="1:56">
      <c r="A17" s="24"/>
      <c r="B17" s="33">
        <f>tblIndicators!D12</f>
        <v>3</v>
      </c>
      <c r="C17" s="24">
        <f>tblIndicators!M12</f>
        <v>2</v>
      </c>
      <c r="D17" s="24">
        <v>1</v>
      </c>
      <c r="E17" s="33" t="str">
        <f>tblIndicators!Z12</f>
        <v>1.2.1) Frequency of identity theft</v>
      </c>
      <c r="F17" s="28" t="str">
        <f>IF($C17&gt;1,tblIndicators!J12,"")</f>
        <v>%</v>
      </c>
      <c r="G17" s="35">
        <v>2.27</v>
      </c>
      <c r="H17" s="35">
        <v>12</v>
      </c>
      <c r="I17" s="35">
        <v>0.5</v>
      </c>
      <c r="J17" s="35">
        <v>7</v>
      </c>
      <c r="K17" s="35">
        <v>7</v>
      </c>
      <c r="L17" s="35">
        <v>4</v>
      </c>
      <c r="M17" s="35">
        <v>4</v>
      </c>
      <c r="N17" s="35">
        <v>4</v>
      </c>
      <c r="O17" s="35">
        <v>4</v>
      </c>
      <c r="P17" s="35">
        <v>4</v>
      </c>
      <c r="Q17" s="35">
        <v>6</v>
      </c>
      <c r="R17" s="35">
        <v>0.11</v>
      </c>
      <c r="S17" s="35">
        <v>0.5</v>
      </c>
      <c r="T17" s="35">
        <v>4</v>
      </c>
      <c r="U17" s="35">
        <v>4</v>
      </c>
      <c r="V17" s="35">
        <v>5</v>
      </c>
      <c r="W17" s="35">
        <v>5</v>
      </c>
      <c r="X17" s="35">
        <v>0.5</v>
      </c>
      <c r="Y17" s="35">
        <v>14</v>
      </c>
      <c r="Z17" s="35">
        <v>14</v>
      </c>
      <c r="AA17" s="35">
        <v>14</v>
      </c>
      <c r="AB17" s="35">
        <v>14</v>
      </c>
      <c r="AC17" s="35">
        <v>14</v>
      </c>
      <c r="AD17" s="35">
        <v>12</v>
      </c>
      <c r="AE17" s="35">
        <v>12</v>
      </c>
      <c r="AF17" s="35">
        <v>11</v>
      </c>
      <c r="AG17" s="35">
        <v>0</v>
      </c>
      <c r="AH17" s="35">
        <v>1</v>
      </c>
      <c r="AI17" s="35">
        <v>1</v>
      </c>
      <c r="AJ17" s="35">
        <v>7</v>
      </c>
      <c r="AK17" s="35">
        <v>25</v>
      </c>
      <c r="AL17" s="35">
        <v>0.5</v>
      </c>
      <c r="AM17" s="35">
        <v>0.5</v>
      </c>
      <c r="AN17" s="35">
        <v>0.5</v>
      </c>
      <c r="AO17" s="35">
        <v>0.5</v>
      </c>
      <c r="AP17" s="35">
        <v>0.5</v>
      </c>
      <c r="AQ17" s="35">
        <v>5</v>
      </c>
      <c r="AR17" s="35">
        <v>0.5</v>
      </c>
      <c r="AS17" s="35">
        <v>2</v>
      </c>
      <c r="AT17" s="35">
        <v>1</v>
      </c>
      <c r="AU17" s="35">
        <v>5</v>
      </c>
      <c r="AV17" s="35">
        <v>0</v>
      </c>
      <c r="AW17" s="35">
        <v>0</v>
      </c>
      <c r="AX17" s="35">
        <v>0.3</v>
      </c>
      <c r="AY17" s="35">
        <v>7</v>
      </c>
      <c r="AZ17" s="35">
        <v>6</v>
      </c>
      <c r="BA17" s="35">
        <v>6</v>
      </c>
      <c r="BB17" s="35">
        <v>1</v>
      </c>
      <c r="BC17" s="35">
        <v>5</v>
      </c>
      <c r="BD17" s="35">
        <v>3</v>
      </c>
    </row>
    <row r="18" s="22" customFormat="1" spans="1:56">
      <c r="A18" s="24"/>
      <c r="B18" s="33">
        <f>tblIndicators!D13</f>
        <v>3</v>
      </c>
      <c r="C18" s="24">
        <f>tblIndicators!M13</f>
        <v>3</v>
      </c>
      <c r="D18" s="24">
        <v>1</v>
      </c>
      <c r="E18" s="33" t="str">
        <f>tblIndicators!Z13</f>
        <v>1.2.2) Precentage of computers infected</v>
      </c>
      <c r="F18" s="28" t="str">
        <f>IF($C18&gt;1,tblIndicators!J13,"")</f>
        <v>Scale 1-5 (1 best, 5 worst)</v>
      </c>
      <c r="G18" s="29">
        <v>3</v>
      </c>
      <c r="H18" s="29">
        <v>2</v>
      </c>
      <c r="I18" s="29">
        <v>2</v>
      </c>
      <c r="J18" s="29">
        <v>3</v>
      </c>
      <c r="K18" s="29">
        <v>3</v>
      </c>
      <c r="L18" s="29">
        <v>3</v>
      </c>
      <c r="M18" s="29">
        <v>3</v>
      </c>
      <c r="N18" s="29">
        <v>3</v>
      </c>
      <c r="O18" s="29">
        <v>3</v>
      </c>
      <c r="P18" s="29">
        <v>3</v>
      </c>
      <c r="Q18" s="29">
        <v>2</v>
      </c>
      <c r="R18" s="29">
        <v>3</v>
      </c>
      <c r="S18" s="29">
        <v>2</v>
      </c>
      <c r="T18" s="29">
        <v>3</v>
      </c>
      <c r="U18" s="29">
        <v>3</v>
      </c>
      <c r="V18" s="29">
        <v>3</v>
      </c>
      <c r="W18" s="29">
        <v>3</v>
      </c>
      <c r="X18" s="29">
        <v>3</v>
      </c>
      <c r="Y18" s="29">
        <v>3</v>
      </c>
      <c r="Z18" s="29">
        <v>3</v>
      </c>
      <c r="AA18" s="29">
        <v>3</v>
      </c>
      <c r="AB18" s="29">
        <v>3</v>
      </c>
      <c r="AC18" s="29">
        <v>3</v>
      </c>
      <c r="AD18" s="29">
        <v>3</v>
      </c>
      <c r="AE18" s="29">
        <v>3</v>
      </c>
      <c r="AF18" s="29">
        <v>3</v>
      </c>
      <c r="AG18" s="29">
        <v>3</v>
      </c>
      <c r="AH18" s="29">
        <v>1</v>
      </c>
      <c r="AI18" s="29">
        <v>1</v>
      </c>
      <c r="AJ18" s="29">
        <v>1</v>
      </c>
      <c r="AK18" s="29">
        <v>3</v>
      </c>
      <c r="AL18" s="29">
        <v>2</v>
      </c>
      <c r="AM18" s="29">
        <v>4</v>
      </c>
      <c r="AN18" s="29">
        <v>5</v>
      </c>
      <c r="AO18" s="29">
        <v>3</v>
      </c>
      <c r="AP18" s="29">
        <v>3</v>
      </c>
      <c r="AQ18" s="29">
        <v>4</v>
      </c>
      <c r="AR18" s="29">
        <v>3</v>
      </c>
      <c r="AS18" s="29">
        <v>3</v>
      </c>
      <c r="AT18" s="29">
        <v>4</v>
      </c>
      <c r="AU18" s="29">
        <v>4</v>
      </c>
      <c r="AV18" s="29">
        <v>3</v>
      </c>
      <c r="AW18" s="29">
        <v>3</v>
      </c>
      <c r="AX18" s="29">
        <v>2</v>
      </c>
      <c r="AY18" s="29">
        <v>5</v>
      </c>
      <c r="AZ18" s="29">
        <v>4</v>
      </c>
      <c r="BA18" s="29">
        <v>4</v>
      </c>
      <c r="BB18" s="29">
        <v>3</v>
      </c>
      <c r="BC18" s="29">
        <v>4</v>
      </c>
      <c r="BD18" s="29">
        <v>3</v>
      </c>
    </row>
    <row r="19" s="22" customFormat="1" spans="1:56">
      <c r="A19" s="24"/>
      <c r="B19" s="33">
        <f>tblIndicators!D14</f>
        <v>3</v>
      </c>
      <c r="C19" s="24">
        <f>tblIndicators!M14</f>
        <v>2</v>
      </c>
      <c r="D19" s="24">
        <v>1</v>
      </c>
      <c r="E19" s="33" t="str">
        <f>tblIndicators!Z14</f>
        <v>1.2.3) Percent with internet access</v>
      </c>
      <c r="F19" s="28" t="str">
        <f>IF($C19&gt;1,tblIndicators!J14,"")</f>
        <v>%</v>
      </c>
      <c r="G19" s="34">
        <v>0.948</v>
      </c>
      <c r="H19" s="34">
        <v>0.54</v>
      </c>
      <c r="I19" s="34">
        <v>0.6809</v>
      </c>
      <c r="J19" s="34">
        <v>0.48</v>
      </c>
      <c r="K19" s="34">
        <v>0.47</v>
      </c>
      <c r="L19" s="34">
        <v>0.86</v>
      </c>
      <c r="M19" s="34">
        <v>0.8</v>
      </c>
      <c r="N19" s="34">
        <v>0.81</v>
      </c>
      <c r="O19" s="34">
        <v>0.81</v>
      </c>
      <c r="P19" s="34">
        <v>0.75</v>
      </c>
      <c r="Q19" s="34">
        <v>0.5113</v>
      </c>
      <c r="R19" s="34">
        <v>0.072</v>
      </c>
      <c r="S19" s="34">
        <v>0.677</v>
      </c>
      <c r="T19" s="34">
        <v>0.83</v>
      </c>
      <c r="U19" s="34">
        <v>0.86</v>
      </c>
      <c r="V19" s="34">
        <v>0.763</v>
      </c>
      <c r="W19" s="34">
        <v>0.76</v>
      </c>
      <c r="X19" s="34">
        <v>0.779</v>
      </c>
      <c r="Y19" s="34">
        <v>0.722</v>
      </c>
      <c r="Z19" s="34">
        <v>0.684</v>
      </c>
      <c r="AA19" s="34">
        <v>0.768</v>
      </c>
      <c r="AB19" s="34">
        <v>0.631</v>
      </c>
      <c r="AC19" s="34">
        <v>0.585</v>
      </c>
      <c r="AD19" s="34">
        <v>0.47</v>
      </c>
      <c r="AE19" s="34">
        <v>0.4835</v>
      </c>
      <c r="AF19" s="34">
        <v>0.369</v>
      </c>
      <c r="AG19" s="34">
        <v>0.26</v>
      </c>
      <c r="AH19" s="34">
        <v>0.87</v>
      </c>
      <c r="AI19" s="34">
        <v>0.8603</v>
      </c>
      <c r="AJ19" s="34">
        <v>0.73</v>
      </c>
      <c r="AK19" s="34">
        <v>0.832</v>
      </c>
      <c r="AL19" s="34">
        <v>0.7</v>
      </c>
      <c r="AM19" s="34">
        <v>0.2576</v>
      </c>
      <c r="AN19" s="34">
        <v>0.5</v>
      </c>
      <c r="AO19" s="34">
        <v>0.74</v>
      </c>
      <c r="AP19" s="34">
        <v>0.82</v>
      </c>
      <c r="AQ19" s="34">
        <v>0.541</v>
      </c>
      <c r="AR19" s="34">
        <v>0.88</v>
      </c>
      <c r="AS19" s="34">
        <v>0.8217</v>
      </c>
      <c r="AT19" s="34">
        <v>0.82</v>
      </c>
      <c r="AU19" s="34">
        <v>0.84</v>
      </c>
      <c r="AV19" s="34">
        <v>0.58</v>
      </c>
      <c r="AW19" s="34">
        <v>0.63</v>
      </c>
      <c r="AX19" s="34">
        <v>0.94</v>
      </c>
      <c r="AY19" s="34">
        <v>0.74</v>
      </c>
      <c r="AZ19" s="34">
        <v>0.77</v>
      </c>
      <c r="BA19" s="34">
        <v>0.744</v>
      </c>
      <c r="BB19" s="34">
        <v>0.88</v>
      </c>
      <c r="BC19" s="34">
        <v>0.466</v>
      </c>
      <c r="BD19" s="34">
        <v>0.9</v>
      </c>
    </row>
    <row r="20" spans="1:56">
      <c r="A20" s="24"/>
      <c r="B20" s="27">
        <f>tblIndicators!D15</f>
        <v>1</v>
      </c>
      <c r="C20" s="24">
        <f>tblIndicators!M15</f>
        <v>1</v>
      </c>
      <c r="D20" s="24">
        <v>1</v>
      </c>
      <c r="E20" s="27" t="str">
        <f>tblIndicators!Z15</f>
        <v>2) HEALTH SECURITY</v>
      </c>
      <c r="F20" s="28" t="str">
        <f>IF($C20&gt;1,tblIndicators!J15,"")</f>
        <v/>
      </c>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row>
    <row r="21" s="21" customFormat="1" spans="1:56">
      <c r="A21" s="30"/>
      <c r="B21" s="31">
        <f>tblIndicators!D16</f>
        <v>2</v>
      </c>
      <c r="C21" s="30">
        <f>tblIndicators!M16</f>
        <v>1</v>
      </c>
      <c r="D21" s="30">
        <v>1</v>
      </c>
      <c r="E21" s="31" t="str">
        <f>tblIndicators!Z16</f>
        <v>2.1) Health Security (Inputs)</v>
      </c>
      <c r="F21" s="32" t="str">
        <f>IF($C21&gt;1,tblIndicators!J16,"")</f>
        <v/>
      </c>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row>
    <row r="22" s="22" customFormat="1" spans="1:56">
      <c r="A22" s="24"/>
      <c r="B22" s="33">
        <f>tblIndicators!D17</f>
        <v>3</v>
      </c>
      <c r="C22" s="24">
        <f>tblIndicators!M17</f>
        <v>2</v>
      </c>
      <c r="D22" s="24">
        <v>1</v>
      </c>
      <c r="E22" s="33" t="str">
        <f>tblIndicators!Z17</f>
        <v>2.1.1) Environmental policies</v>
      </c>
      <c r="F22" s="28" t="str">
        <f>IF($C22&gt;1,tblIndicators!J17,"")</f>
        <v>Scale 0-100</v>
      </c>
      <c r="G22" s="34">
        <v>100</v>
      </c>
      <c r="H22" s="34">
        <v>69.4</v>
      </c>
      <c r="I22" s="34">
        <v>74.7</v>
      </c>
      <c r="J22" s="34">
        <v>66.7</v>
      </c>
      <c r="K22" s="34">
        <v>93.1</v>
      </c>
      <c r="L22" s="34">
        <v>94.4</v>
      </c>
      <c r="M22" s="34">
        <v>93.3</v>
      </c>
      <c r="N22" s="34">
        <v>60</v>
      </c>
      <c r="O22" s="34">
        <v>74.4</v>
      </c>
      <c r="P22" s="34">
        <v>87.8</v>
      </c>
      <c r="Q22" s="34">
        <v>93.9</v>
      </c>
      <c r="R22" s="34">
        <v>61.5</v>
      </c>
      <c r="S22" s="34">
        <v>69.4</v>
      </c>
      <c r="T22" s="34">
        <v>100</v>
      </c>
      <c r="U22" s="34">
        <v>100</v>
      </c>
      <c r="V22" s="34">
        <v>67</v>
      </c>
      <c r="W22" s="34">
        <v>78</v>
      </c>
      <c r="X22" s="34">
        <v>98.3</v>
      </c>
      <c r="Y22" s="34">
        <v>79.4</v>
      </c>
      <c r="Z22" s="34">
        <v>85</v>
      </c>
      <c r="AA22" s="34">
        <v>98.3</v>
      </c>
      <c r="AB22" s="34">
        <v>86.8</v>
      </c>
      <c r="AC22" s="34">
        <v>79.4</v>
      </c>
      <c r="AD22" s="34">
        <v>62</v>
      </c>
      <c r="AE22" s="34">
        <v>88.2</v>
      </c>
      <c r="AF22" s="34">
        <v>89.6</v>
      </c>
      <c r="AG22" s="34">
        <v>71</v>
      </c>
      <c r="AH22" s="34">
        <v>96.5</v>
      </c>
      <c r="AI22" s="34">
        <v>96.5</v>
      </c>
      <c r="AJ22" s="34">
        <v>97.5</v>
      </c>
      <c r="AK22" s="34">
        <v>93.1</v>
      </c>
      <c r="AL22" s="34">
        <v>93.1</v>
      </c>
      <c r="AM22" s="34">
        <v>93.1</v>
      </c>
      <c r="AN22" s="34">
        <v>43.9</v>
      </c>
      <c r="AO22" s="34">
        <v>22</v>
      </c>
      <c r="AP22" s="34">
        <v>36</v>
      </c>
      <c r="AQ22" s="34">
        <v>22</v>
      </c>
      <c r="AR22" s="34">
        <v>64</v>
      </c>
      <c r="AS22" s="34">
        <v>100</v>
      </c>
      <c r="AT22" s="34">
        <v>94.4</v>
      </c>
      <c r="AU22" s="34">
        <v>75.6</v>
      </c>
      <c r="AV22" s="34">
        <v>52.2</v>
      </c>
      <c r="AW22" s="34">
        <v>52.2</v>
      </c>
      <c r="AX22" s="34">
        <v>91.1</v>
      </c>
      <c r="AY22" s="34">
        <v>89</v>
      </c>
      <c r="AZ22" s="34">
        <v>80</v>
      </c>
      <c r="BA22" s="34">
        <v>80</v>
      </c>
      <c r="BB22" s="34">
        <v>87.8</v>
      </c>
      <c r="BC22" s="34">
        <v>31.1</v>
      </c>
      <c r="BD22" s="34">
        <v>76.7</v>
      </c>
    </row>
    <row r="23" s="22" customFormat="1" spans="1:56">
      <c r="A23" s="24"/>
      <c r="B23" s="33">
        <f>tblIndicators!D18</f>
        <v>3</v>
      </c>
      <c r="C23" s="24">
        <f>tblIndicators!M18</f>
        <v>2</v>
      </c>
      <c r="D23" s="24">
        <v>1</v>
      </c>
      <c r="E23" s="33" t="str">
        <f>tblIndicators!Z18</f>
        <v>2.1.2) Access to healthcare</v>
      </c>
      <c r="F23" s="28" t="str">
        <f>IF($C23&gt;1,tblIndicators!J18,"")</f>
        <v>Scale 0-100</v>
      </c>
      <c r="G23" s="34">
        <v>1</v>
      </c>
      <c r="H23" s="34">
        <v>58.3</v>
      </c>
      <c r="I23" s="34">
        <v>87.5</v>
      </c>
      <c r="J23" s="34">
        <v>70.8</v>
      </c>
      <c r="K23" s="34">
        <v>66.7</v>
      </c>
      <c r="L23" s="34">
        <v>91.7</v>
      </c>
      <c r="M23" s="34">
        <v>91.7</v>
      </c>
      <c r="N23" s="34">
        <v>100</v>
      </c>
      <c r="O23" s="34">
        <v>100</v>
      </c>
      <c r="P23" s="34">
        <v>91.7</v>
      </c>
      <c r="Q23" s="34">
        <v>66.7</v>
      </c>
      <c r="R23" s="34">
        <v>66.7</v>
      </c>
      <c r="S23" s="34">
        <v>70.8</v>
      </c>
      <c r="T23" s="34">
        <v>91.7</v>
      </c>
      <c r="U23" s="34">
        <v>91.7</v>
      </c>
      <c r="V23" s="34">
        <v>100</v>
      </c>
      <c r="W23" s="34">
        <v>100</v>
      </c>
      <c r="X23" s="34">
        <v>87.5</v>
      </c>
      <c r="Y23" s="34">
        <v>66.7</v>
      </c>
      <c r="Z23" s="34">
        <v>62.5</v>
      </c>
      <c r="AA23" s="34">
        <v>62.5</v>
      </c>
      <c r="AB23" s="34">
        <v>62.5</v>
      </c>
      <c r="AC23" s="34">
        <v>66.7</v>
      </c>
      <c r="AD23" s="34">
        <v>54.2</v>
      </c>
      <c r="AE23" s="34">
        <v>58.3</v>
      </c>
      <c r="AF23" s="34">
        <v>45.8</v>
      </c>
      <c r="AG23" s="34">
        <v>62.5</v>
      </c>
      <c r="AH23" s="34">
        <v>100</v>
      </c>
      <c r="AI23" s="34">
        <v>100</v>
      </c>
      <c r="AJ23" s="34">
        <v>87.5</v>
      </c>
      <c r="AK23" s="34">
        <v>83.3</v>
      </c>
      <c r="AL23" s="34">
        <v>83</v>
      </c>
      <c r="AM23" s="34">
        <v>62.5</v>
      </c>
      <c r="AN23" s="34">
        <v>50</v>
      </c>
      <c r="AO23" s="34">
        <v>71</v>
      </c>
      <c r="AP23" s="34">
        <v>71</v>
      </c>
      <c r="AQ23" s="34">
        <v>67</v>
      </c>
      <c r="AR23" s="34">
        <v>75</v>
      </c>
      <c r="AS23" s="34">
        <v>100</v>
      </c>
      <c r="AT23" s="34">
        <v>100</v>
      </c>
      <c r="AU23" s="34">
        <v>100</v>
      </c>
      <c r="AV23" s="34">
        <v>87.5</v>
      </c>
      <c r="AW23" s="34">
        <v>88</v>
      </c>
      <c r="AX23" s="34">
        <v>100</v>
      </c>
      <c r="AY23" s="34">
        <v>79.2</v>
      </c>
      <c r="AZ23" s="34">
        <v>87.5</v>
      </c>
      <c r="BA23" s="34">
        <v>92</v>
      </c>
      <c r="BB23" s="34">
        <v>100</v>
      </c>
      <c r="BC23" s="34">
        <v>50</v>
      </c>
      <c r="BD23" s="34">
        <v>70</v>
      </c>
    </row>
    <row r="24" s="22" customFormat="1" spans="1:56">
      <c r="A24" s="24"/>
      <c r="B24" s="33">
        <f>tblIndicators!D19</f>
        <v>3</v>
      </c>
      <c r="C24" s="24">
        <f>tblIndicators!M19</f>
        <v>2</v>
      </c>
      <c r="D24" s="24">
        <v>1</v>
      </c>
      <c r="E24" s="33" t="str">
        <f>tblIndicators!Z19</f>
        <v>2.1.3) No. of beds per 1000</v>
      </c>
      <c r="F24" s="28" t="str">
        <f>IF($C24&gt;1,tblIndicators!J19,"")</f>
        <v>#/1000</v>
      </c>
      <c r="G24" s="34">
        <v>24</v>
      </c>
      <c r="H24" s="34">
        <v>1.5</v>
      </c>
      <c r="I24" s="34">
        <v>4.5</v>
      </c>
      <c r="J24" s="34">
        <v>2.6</v>
      </c>
      <c r="K24" s="34">
        <v>1.9</v>
      </c>
      <c r="L24" s="34">
        <v>1.23</v>
      </c>
      <c r="M24" s="34">
        <v>3</v>
      </c>
      <c r="N24" s="34">
        <v>2.5</v>
      </c>
      <c r="O24" s="34">
        <v>13.03</v>
      </c>
      <c r="P24" s="34">
        <v>2.5</v>
      </c>
      <c r="Q24" s="34">
        <v>1.1</v>
      </c>
      <c r="R24" s="34">
        <v>1.6</v>
      </c>
      <c r="S24" s="34">
        <v>2.1</v>
      </c>
      <c r="T24" s="34">
        <v>3.1</v>
      </c>
      <c r="U24" s="34">
        <v>5.9</v>
      </c>
      <c r="V24" s="34">
        <v>2.99</v>
      </c>
      <c r="W24" s="34">
        <v>2.32</v>
      </c>
      <c r="X24" s="34">
        <v>4.99</v>
      </c>
      <c r="Y24" s="34">
        <v>4.84</v>
      </c>
      <c r="Z24" s="34">
        <v>4.61</v>
      </c>
      <c r="AA24" s="34">
        <v>2.48</v>
      </c>
      <c r="AB24" s="34">
        <v>4.84</v>
      </c>
      <c r="AC24" s="34">
        <v>3.79</v>
      </c>
      <c r="AD24" s="34">
        <v>1.92</v>
      </c>
      <c r="AE24" s="34">
        <v>2.25</v>
      </c>
      <c r="AF24" s="34">
        <v>1.6</v>
      </c>
      <c r="AG24" s="34">
        <v>0.1</v>
      </c>
      <c r="AH24" s="34">
        <v>8.38</v>
      </c>
      <c r="AI24" s="34">
        <v>10.3</v>
      </c>
      <c r="AJ24" s="34">
        <v>2</v>
      </c>
      <c r="AK24" s="34">
        <v>4.8</v>
      </c>
      <c r="AL24" s="34">
        <v>8.2</v>
      </c>
      <c r="AM24" s="34">
        <v>3.76</v>
      </c>
      <c r="AN24" s="34">
        <v>3.8</v>
      </c>
      <c r="AO24" s="34">
        <v>2.2</v>
      </c>
      <c r="AP24" s="34">
        <v>1.2</v>
      </c>
      <c r="AQ24" s="34">
        <v>2.21</v>
      </c>
      <c r="AR24" s="34">
        <v>2.7</v>
      </c>
      <c r="AS24" s="34">
        <v>7.63</v>
      </c>
      <c r="AT24" s="34">
        <v>7.11</v>
      </c>
      <c r="AU24" s="34">
        <v>8.3</v>
      </c>
      <c r="AV24" s="34">
        <v>4.3</v>
      </c>
      <c r="AW24" s="34">
        <v>5.6</v>
      </c>
      <c r="AX24" s="34">
        <v>4.7</v>
      </c>
      <c r="AY24" s="34">
        <v>9.7</v>
      </c>
      <c r="AZ24" s="34">
        <v>3.04</v>
      </c>
      <c r="BA24" s="34">
        <v>3.22</v>
      </c>
      <c r="BB24" s="34">
        <v>4.4</v>
      </c>
      <c r="BC24" s="34">
        <v>0.017</v>
      </c>
      <c r="BD24" s="34">
        <v>2.2</v>
      </c>
    </row>
    <row r="25" s="22" customFormat="1" spans="1:56">
      <c r="A25" s="24"/>
      <c r="B25" s="33">
        <f>tblIndicators!D20</f>
        <v>3</v>
      </c>
      <c r="C25" s="24">
        <f>tblIndicators!M20</f>
        <v>2</v>
      </c>
      <c r="D25" s="24">
        <v>1</v>
      </c>
      <c r="E25" s="33" t="str">
        <f>tblIndicators!Z20</f>
        <v>2.1.4) Number of doctors per 1000</v>
      </c>
      <c r="F25" s="28" t="str">
        <f>IF($C25&gt;1,tblIndicators!J20,"")</f>
        <v>#/1000</v>
      </c>
      <c r="G25" s="34">
        <v>4.54</v>
      </c>
      <c r="H25" s="34">
        <v>0.6</v>
      </c>
      <c r="I25" s="34">
        <v>3.2</v>
      </c>
      <c r="J25" s="34">
        <v>4</v>
      </c>
      <c r="K25" s="34">
        <v>3.6</v>
      </c>
      <c r="L25" s="34">
        <v>2.58</v>
      </c>
      <c r="M25" s="34">
        <v>2.39</v>
      </c>
      <c r="N25" s="34">
        <v>0.9</v>
      </c>
      <c r="O25" s="34">
        <v>1.11</v>
      </c>
      <c r="P25" s="34">
        <v>2.63</v>
      </c>
      <c r="Q25" s="34">
        <v>2.5</v>
      </c>
      <c r="R25" s="34">
        <v>1.1</v>
      </c>
      <c r="S25" s="34">
        <v>1.01</v>
      </c>
      <c r="T25" s="34">
        <v>3.48</v>
      </c>
      <c r="U25" s="34">
        <v>7.64</v>
      </c>
      <c r="V25" s="34">
        <v>3.09</v>
      </c>
      <c r="W25" s="34">
        <v>3.33</v>
      </c>
      <c r="X25" s="34">
        <v>1.84</v>
      </c>
      <c r="Y25" s="34">
        <v>3.59</v>
      </c>
      <c r="Z25" s="34">
        <v>2.34</v>
      </c>
      <c r="AA25" s="34">
        <v>2.27</v>
      </c>
      <c r="AB25" s="34">
        <v>2.89</v>
      </c>
      <c r="AC25" s="34">
        <v>2.17</v>
      </c>
      <c r="AD25" s="34">
        <v>0.54</v>
      </c>
      <c r="AE25" s="34">
        <v>3.1</v>
      </c>
      <c r="AF25" s="34">
        <v>0.3</v>
      </c>
      <c r="AG25" s="34">
        <v>0.89</v>
      </c>
      <c r="AH25" s="34">
        <v>3.04</v>
      </c>
      <c r="AI25" s="34">
        <v>5</v>
      </c>
      <c r="AJ25" s="34">
        <v>1.6</v>
      </c>
      <c r="AK25" s="34">
        <v>3.49</v>
      </c>
      <c r="AL25" s="34">
        <v>17.7</v>
      </c>
      <c r="AM25" s="34">
        <v>0.3</v>
      </c>
      <c r="AN25" s="34">
        <v>1.22</v>
      </c>
      <c r="AO25" s="34">
        <v>2.17</v>
      </c>
      <c r="AP25" s="34">
        <v>8.34</v>
      </c>
      <c r="AQ25" s="34">
        <v>2.2</v>
      </c>
      <c r="AR25" s="34">
        <v>2.3</v>
      </c>
      <c r="AS25" s="34">
        <v>5.7</v>
      </c>
      <c r="AT25" s="34">
        <v>3.5</v>
      </c>
      <c r="AU25" s="34">
        <v>3.69</v>
      </c>
      <c r="AV25" s="34">
        <v>4.1</v>
      </c>
      <c r="AW25" s="34">
        <v>1.33</v>
      </c>
      <c r="AX25" s="34">
        <v>2.9</v>
      </c>
      <c r="AY25" s="34">
        <v>3.9</v>
      </c>
      <c r="AZ25" s="34">
        <v>5.07</v>
      </c>
      <c r="BA25" s="34">
        <v>4.7</v>
      </c>
      <c r="BB25" s="34">
        <v>4.65</v>
      </c>
      <c r="BC25" s="34">
        <v>0.94</v>
      </c>
      <c r="BD25" s="34">
        <v>3.48</v>
      </c>
    </row>
    <row r="26" s="22" customFormat="1" spans="1:56">
      <c r="A26" s="24"/>
      <c r="B26" s="33">
        <f>tblIndicators!D21</f>
        <v>3</v>
      </c>
      <c r="C26" s="24">
        <f>tblIndicators!M21</f>
        <v>3</v>
      </c>
      <c r="D26" s="24">
        <v>1</v>
      </c>
      <c r="E26" s="33" t="str">
        <f>tblIndicators!Z21</f>
        <v>2.1.5) Access to safe and quality food</v>
      </c>
      <c r="F26" s="28" t="str">
        <f>IF($C26&gt;1,tblIndicators!J21,"")</f>
        <v>Scale 1-100</v>
      </c>
      <c r="G26" s="34">
        <v>100</v>
      </c>
      <c r="H26" s="34">
        <v>87.5</v>
      </c>
      <c r="I26" s="34">
        <v>97.2</v>
      </c>
      <c r="J26" s="34">
        <v>90.7</v>
      </c>
      <c r="K26" s="34">
        <v>90.7</v>
      </c>
      <c r="L26" s="34">
        <v>96.4</v>
      </c>
      <c r="M26" s="34">
        <v>96.4</v>
      </c>
      <c r="N26" s="34">
        <v>99.4</v>
      </c>
      <c r="O26" s="34">
        <v>99.4</v>
      </c>
      <c r="P26" s="34">
        <v>96.4</v>
      </c>
      <c r="Q26" s="34">
        <v>93.6</v>
      </c>
      <c r="R26" s="34">
        <v>67.1</v>
      </c>
      <c r="S26" s="34">
        <v>94</v>
      </c>
      <c r="T26" s="34">
        <v>96.4</v>
      </c>
      <c r="U26" s="34">
        <v>96.4</v>
      </c>
      <c r="V26" s="34">
        <v>100</v>
      </c>
      <c r="W26" s="34">
        <v>100</v>
      </c>
      <c r="X26" s="34">
        <v>90.9</v>
      </c>
      <c r="Y26" s="34">
        <v>90.9</v>
      </c>
      <c r="Z26" s="34">
        <v>90.9</v>
      </c>
      <c r="AA26" s="34">
        <v>90.9</v>
      </c>
      <c r="AB26" s="34">
        <v>90.9</v>
      </c>
      <c r="AC26" s="34">
        <v>90.9</v>
      </c>
      <c r="AD26" s="34">
        <v>81.2</v>
      </c>
      <c r="AE26" s="34">
        <v>81.2</v>
      </c>
      <c r="AF26" s="34">
        <v>72.7</v>
      </c>
      <c r="AG26" s="34">
        <v>75</v>
      </c>
      <c r="AH26" s="34">
        <v>100</v>
      </c>
      <c r="AI26" s="34">
        <v>100</v>
      </c>
      <c r="AJ26" s="34">
        <v>100</v>
      </c>
      <c r="AK26" s="34">
        <v>92.7</v>
      </c>
      <c r="AL26" s="34">
        <v>90.9</v>
      </c>
      <c r="AM26" s="34">
        <v>97.2</v>
      </c>
      <c r="AN26" s="34">
        <v>83.8</v>
      </c>
      <c r="AO26" s="34">
        <v>99.4</v>
      </c>
      <c r="AP26" s="34">
        <v>98</v>
      </c>
      <c r="AQ26" s="34">
        <v>98.2</v>
      </c>
      <c r="AR26" s="34">
        <v>100</v>
      </c>
      <c r="AS26" s="34">
        <v>100</v>
      </c>
      <c r="AT26" s="34">
        <v>100</v>
      </c>
      <c r="AU26" s="34">
        <v>100</v>
      </c>
      <c r="AV26" s="34">
        <v>100</v>
      </c>
      <c r="AW26" s="34">
        <v>100</v>
      </c>
      <c r="AX26" s="34">
        <v>100</v>
      </c>
      <c r="AY26" s="34">
        <v>95.3</v>
      </c>
      <c r="AZ26" s="34">
        <v>100</v>
      </c>
      <c r="BA26" s="34">
        <v>100</v>
      </c>
      <c r="BB26" s="34">
        <v>100</v>
      </c>
      <c r="BC26" s="34">
        <v>99.5</v>
      </c>
      <c r="BD26" s="34">
        <v>100</v>
      </c>
    </row>
    <row r="27" s="22" customFormat="1" spans="1:56">
      <c r="A27" s="24"/>
      <c r="B27" s="33">
        <f>tblIndicators!D22</f>
        <v>3</v>
      </c>
      <c r="C27" s="24">
        <f>tblIndicators!M22</f>
        <v>3</v>
      </c>
      <c r="D27" s="24">
        <v>1</v>
      </c>
      <c r="E27" s="33" t="str">
        <f>tblIndicators!Z22</f>
        <v>2.1.6) Quality of health services</v>
      </c>
      <c r="F27" s="28" t="str">
        <f>IF($C27&gt;1,tblIndicators!J22,"")</f>
        <v>Scale 1-5</v>
      </c>
      <c r="G27" s="34">
        <v>1</v>
      </c>
      <c r="H27" s="34">
        <v>3</v>
      </c>
      <c r="I27" s="34">
        <v>2</v>
      </c>
      <c r="J27" s="34">
        <v>2.5</v>
      </c>
      <c r="K27" s="34">
        <v>2.5</v>
      </c>
      <c r="L27" s="34">
        <v>1.5</v>
      </c>
      <c r="M27" s="34">
        <v>1.5</v>
      </c>
      <c r="N27" s="34">
        <v>1</v>
      </c>
      <c r="O27" s="34">
        <v>1</v>
      </c>
      <c r="P27" s="34">
        <v>1.5</v>
      </c>
      <c r="Q27" s="34">
        <v>3</v>
      </c>
      <c r="R27" s="34">
        <v>2.5</v>
      </c>
      <c r="S27" s="34">
        <v>2.5</v>
      </c>
      <c r="T27" s="34">
        <v>1.5</v>
      </c>
      <c r="U27" s="34">
        <v>1.5</v>
      </c>
      <c r="V27" s="34">
        <v>1</v>
      </c>
      <c r="W27" s="34">
        <v>1</v>
      </c>
      <c r="X27" s="34">
        <v>1.5</v>
      </c>
      <c r="Y27" s="34">
        <v>2.5</v>
      </c>
      <c r="Z27" s="34">
        <v>2.5</v>
      </c>
      <c r="AA27" s="34">
        <v>2.5</v>
      </c>
      <c r="AB27" s="34">
        <v>2.5</v>
      </c>
      <c r="AC27" s="34">
        <v>2.5</v>
      </c>
      <c r="AD27" s="34">
        <v>3.5</v>
      </c>
      <c r="AE27" s="34">
        <v>2.5</v>
      </c>
      <c r="AF27" s="34">
        <v>3.5</v>
      </c>
      <c r="AG27" s="34">
        <v>2.5</v>
      </c>
      <c r="AH27" s="34">
        <v>1</v>
      </c>
      <c r="AI27" s="34">
        <v>1</v>
      </c>
      <c r="AJ27" s="34">
        <v>1</v>
      </c>
      <c r="AK27" s="34">
        <v>1.5</v>
      </c>
      <c r="AL27" s="34">
        <v>1.5</v>
      </c>
      <c r="AM27" s="34">
        <v>2.5</v>
      </c>
      <c r="AN27" s="34">
        <v>3.5</v>
      </c>
      <c r="AO27" s="34">
        <v>1.5</v>
      </c>
      <c r="AP27" s="34">
        <v>2</v>
      </c>
      <c r="AQ27" s="34">
        <v>2.5</v>
      </c>
      <c r="AR27" s="34">
        <v>2</v>
      </c>
      <c r="AS27" s="34">
        <v>1</v>
      </c>
      <c r="AT27" s="34">
        <v>1</v>
      </c>
      <c r="AU27" s="34">
        <v>1</v>
      </c>
      <c r="AV27" s="34">
        <v>2</v>
      </c>
      <c r="AW27" s="34">
        <v>2</v>
      </c>
      <c r="AX27" s="34">
        <v>1</v>
      </c>
      <c r="AY27" s="34">
        <v>2</v>
      </c>
      <c r="AZ27" s="34">
        <v>1.5</v>
      </c>
      <c r="BA27" s="34">
        <v>1</v>
      </c>
      <c r="BB27" s="34">
        <v>1</v>
      </c>
      <c r="BC27" s="34">
        <v>3</v>
      </c>
      <c r="BD27" s="34">
        <v>1.5</v>
      </c>
    </row>
    <row r="28" s="21" customFormat="1" spans="1:56">
      <c r="A28" s="30"/>
      <c r="B28" s="31">
        <f>tblIndicators!D23</f>
        <v>2</v>
      </c>
      <c r="C28" s="30">
        <f>tblIndicators!M23</f>
        <v>1</v>
      </c>
      <c r="D28" s="30">
        <v>1</v>
      </c>
      <c r="E28" s="31" t="str">
        <f>tblIndicators!Z23</f>
        <v>2.2) Health Security (Outputs)</v>
      </c>
      <c r="F28" s="32" t="str">
        <f>IF($C28&gt;1,tblIndicators!J23,"")</f>
        <v/>
      </c>
      <c r="G28" s="36"/>
      <c r="H28" s="36"/>
      <c r="I28" s="43"/>
      <c r="J28" s="43"/>
      <c r="K28" s="43"/>
      <c r="L28" s="43"/>
      <c r="M28" s="36"/>
      <c r="N28" s="43"/>
      <c r="O28" s="43"/>
      <c r="P28" s="43"/>
      <c r="Q28" s="43"/>
      <c r="R28" s="43"/>
      <c r="S28" s="36"/>
      <c r="T28" s="36"/>
      <c r="U28" s="43"/>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43"/>
      <c r="AU28" s="36"/>
      <c r="AV28" s="36"/>
      <c r="AW28" s="36"/>
      <c r="AX28" s="36"/>
      <c r="AY28" s="36"/>
      <c r="AZ28" s="36"/>
      <c r="BA28" s="36"/>
      <c r="BB28" s="36"/>
      <c r="BC28" s="36"/>
      <c r="BD28" s="36"/>
    </row>
    <row r="29" s="22" customFormat="1" spans="1:56">
      <c r="A29" s="24"/>
      <c r="B29" s="33">
        <f>tblIndicators!D24</f>
        <v>3</v>
      </c>
      <c r="C29" s="24">
        <f>tblIndicators!M24</f>
        <v>3</v>
      </c>
      <c r="D29" s="24">
        <v>1</v>
      </c>
      <c r="E29" s="33" t="str">
        <f>tblIndicators!Z24</f>
        <v>2.2.1) Air quality</v>
      </c>
      <c r="F29" s="28" t="str">
        <f>IF($C29&gt;1,tblIndicators!J24,"")</f>
        <v>PM 2.5 levels</v>
      </c>
      <c r="G29" s="34">
        <v>7</v>
      </c>
      <c r="H29" s="34">
        <v>51</v>
      </c>
      <c r="I29" s="34">
        <v>16</v>
      </c>
      <c r="J29" s="34">
        <v>19</v>
      </c>
      <c r="K29" s="34">
        <v>36</v>
      </c>
      <c r="L29" s="34">
        <v>20</v>
      </c>
      <c r="M29" s="34">
        <v>10</v>
      </c>
      <c r="N29" s="34">
        <v>8</v>
      </c>
      <c r="O29" s="34">
        <v>9</v>
      </c>
      <c r="P29" s="34">
        <v>13</v>
      </c>
      <c r="Q29" s="34">
        <v>25</v>
      </c>
      <c r="R29" s="34">
        <v>38</v>
      </c>
      <c r="S29" s="34">
        <v>26</v>
      </c>
      <c r="T29" s="34">
        <v>14</v>
      </c>
      <c r="U29" s="34">
        <v>12</v>
      </c>
      <c r="V29" s="34">
        <v>5</v>
      </c>
      <c r="W29" s="34">
        <v>5</v>
      </c>
      <c r="X29" s="34">
        <v>21</v>
      </c>
      <c r="Y29" s="34">
        <v>56</v>
      </c>
      <c r="Z29" s="34">
        <v>36</v>
      </c>
      <c r="AA29" s="34">
        <v>26</v>
      </c>
      <c r="AB29" s="34">
        <v>32</v>
      </c>
      <c r="AC29" s="34">
        <v>44</v>
      </c>
      <c r="AD29" s="34">
        <v>45</v>
      </c>
      <c r="AE29" s="34">
        <v>153</v>
      </c>
      <c r="AF29" s="34">
        <v>21</v>
      </c>
      <c r="AG29" s="34">
        <v>30</v>
      </c>
      <c r="AH29" s="34">
        <v>10</v>
      </c>
      <c r="AI29" s="34">
        <v>9</v>
      </c>
      <c r="AJ29" s="34">
        <v>17</v>
      </c>
      <c r="AK29" s="34">
        <v>22</v>
      </c>
      <c r="AL29" s="34">
        <v>41</v>
      </c>
      <c r="AM29" s="34">
        <v>20</v>
      </c>
      <c r="AN29" s="34">
        <v>27</v>
      </c>
      <c r="AO29" s="34">
        <v>60</v>
      </c>
      <c r="AP29" s="34">
        <v>93</v>
      </c>
      <c r="AQ29" s="34">
        <v>28</v>
      </c>
      <c r="AR29" s="34">
        <v>64</v>
      </c>
      <c r="AS29" s="34">
        <v>18</v>
      </c>
      <c r="AT29" s="34">
        <v>17</v>
      </c>
      <c r="AU29" s="34">
        <v>18</v>
      </c>
      <c r="AV29" s="34">
        <v>21</v>
      </c>
      <c r="AW29" s="34">
        <v>33</v>
      </c>
      <c r="AX29" s="34">
        <v>18</v>
      </c>
      <c r="AY29" s="34">
        <v>22</v>
      </c>
      <c r="AZ29" s="34">
        <v>11</v>
      </c>
      <c r="BA29" s="34">
        <v>16</v>
      </c>
      <c r="BB29" s="34">
        <v>14</v>
      </c>
      <c r="BC29" s="34">
        <v>32</v>
      </c>
      <c r="BD29" s="34">
        <v>16</v>
      </c>
    </row>
    <row r="30" s="22" customFormat="1" spans="1:56">
      <c r="A30" s="24"/>
      <c r="B30" s="33">
        <f>tblIndicators!D25</f>
        <v>3</v>
      </c>
      <c r="C30" s="24">
        <f>tblIndicators!M25</f>
        <v>3</v>
      </c>
      <c r="D30" s="24">
        <v>1</v>
      </c>
      <c r="E30" s="33" t="str">
        <f>tblIndicators!Z25</f>
        <v>2.2.2) Water quality</v>
      </c>
      <c r="F30" s="28" t="str">
        <f>IF($C30&gt;1,tblIndicators!J25,"")</f>
        <v>Scale 1-100</v>
      </c>
      <c r="G30" s="34">
        <v>71.4</v>
      </c>
      <c r="H30" s="34">
        <v>59.9</v>
      </c>
      <c r="I30" s="34">
        <v>43.4</v>
      </c>
      <c r="J30" s="34">
        <v>73.6</v>
      </c>
      <c r="K30" s="34">
        <v>54.6</v>
      </c>
      <c r="L30" s="34">
        <v>81.7</v>
      </c>
      <c r="M30" s="34">
        <v>87.4</v>
      </c>
      <c r="N30" s="34">
        <v>83.5</v>
      </c>
      <c r="O30" s="34">
        <v>47.2</v>
      </c>
      <c r="P30" s="34">
        <v>82.2</v>
      </c>
      <c r="Q30" s="34">
        <v>66</v>
      </c>
      <c r="R30" s="34">
        <v>59</v>
      </c>
      <c r="S30" s="34">
        <v>70.2</v>
      </c>
      <c r="T30" s="34">
        <v>88.8</v>
      </c>
      <c r="U30" s="34">
        <v>67.3</v>
      </c>
      <c r="V30" s="34">
        <v>82</v>
      </c>
      <c r="W30" s="34">
        <v>67.6</v>
      </c>
      <c r="X30" s="34">
        <v>64.5</v>
      </c>
      <c r="Y30" s="34">
        <v>72.4</v>
      </c>
      <c r="Z30" s="34">
        <v>63</v>
      </c>
      <c r="AA30" s="34">
        <v>64.5</v>
      </c>
      <c r="AB30" s="34">
        <v>54.9</v>
      </c>
      <c r="AC30" s="34">
        <v>72.4</v>
      </c>
      <c r="AD30" s="34">
        <v>64.5</v>
      </c>
      <c r="AE30" s="34">
        <v>56.3</v>
      </c>
      <c r="AF30" s="34">
        <v>49.2</v>
      </c>
      <c r="AG30" s="34">
        <v>46</v>
      </c>
      <c r="AH30" s="34">
        <v>79.5</v>
      </c>
      <c r="AI30" s="34">
        <v>71.3</v>
      </c>
      <c r="AJ30" s="34">
        <v>78.8</v>
      </c>
      <c r="AK30" s="34">
        <v>73.2</v>
      </c>
      <c r="AL30" s="34">
        <v>62.9</v>
      </c>
      <c r="AM30" s="34">
        <v>48.5</v>
      </c>
      <c r="AN30" s="34">
        <v>55.2</v>
      </c>
      <c r="AO30" s="34">
        <v>59</v>
      </c>
      <c r="AP30" s="34">
        <v>35</v>
      </c>
      <c r="AQ30" s="34">
        <v>48</v>
      </c>
      <c r="AR30" s="34">
        <v>61</v>
      </c>
      <c r="AS30" s="34">
        <v>90.5</v>
      </c>
      <c r="AT30" s="34">
        <v>85.5</v>
      </c>
      <c r="AU30" s="34">
        <v>88.6</v>
      </c>
      <c r="AV30" s="34">
        <v>68.8</v>
      </c>
      <c r="AW30" s="34">
        <v>68.8</v>
      </c>
      <c r="AX30" s="34">
        <v>92.1</v>
      </c>
      <c r="AY30" s="34">
        <v>67.4181818181818</v>
      </c>
      <c r="AZ30" s="34">
        <v>85.9</v>
      </c>
      <c r="BA30" s="34">
        <v>85.9</v>
      </c>
      <c r="BB30" s="34">
        <v>88.8</v>
      </c>
      <c r="BC30" s="34">
        <v>55.9</v>
      </c>
      <c r="BD30" s="34">
        <v>85.8</v>
      </c>
    </row>
    <row r="31" s="22" customFormat="1" spans="1:56">
      <c r="A31" s="24"/>
      <c r="B31" s="33">
        <f>tblIndicators!D26</f>
        <v>3</v>
      </c>
      <c r="C31" s="24">
        <f>tblIndicators!M26</f>
        <v>2</v>
      </c>
      <c r="D31" s="24">
        <v>1</v>
      </c>
      <c r="E31" s="33" t="str">
        <f>tblIndicators!Z26</f>
        <v>2.2.3) Life expectancy</v>
      </c>
      <c r="F31" s="28" t="str">
        <f>IF($C31&gt;1,tblIndicators!J26,"")</f>
        <v>Years (Higher yrs, better)</v>
      </c>
      <c r="G31" s="34">
        <v>82.4</v>
      </c>
      <c r="H31" s="34">
        <v>59.6</v>
      </c>
      <c r="I31" s="34">
        <v>76.4</v>
      </c>
      <c r="J31" s="34">
        <v>71</v>
      </c>
      <c r="K31" s="34">
        <v>72.75</v>
      </c>
      <c r="L31" s="34">
        <v>80.3</v>
      </c>
      <c r="M31" s="34">
        <v>79.9</v>
      </c>
      <c r="N31" s="34">
        <v>80.6</v>
      </c>
      <c r="O31" s="34">
        <v>81.2</v>
      </c>
      <c r="P31" s="34">
        <v>77.8</v>
      </c>
      <c r="Q31" s="34">
        <v>76.9</v>
      </c>
      <c r="R31" s="34">
        <v>74.1</v>
      </c>
      <c r="S31" s="34">
        <v>78.44</v>
      </c>
      <c r="T31" s="34">
        <v>80.9</v>
      </c>
      <c r="U31" s="34">
        <v>75.61</v>
      </c>
      <c r="V31" s="34">
        <v>81.4</v>
      </c>
      <c r="W31" s="34">
        <v>85.9</v>
      </c>
      <c r="X31" s="34">
        <v>83.96</v>
      </c>
      <c r="Y31" s="34">
        <v>81.35</v>
      </c>
      <c r="Z31" s="34">
        <v>80.26</v>
      </c>
      <c r="AA31" s="34">
        <v>75.3</v>
      </c>
      <c r="AB31" s="34">
        <v>76.49</v>
      </c>
      <c r="AC31" s="34">
        <v>78.89</v>
      </c>
      <c r="AD31" s="34">
        <v>71</v>
      </c>
      <c r="AE31" s="34">
        <v>69.6</v>
      </c>
      <c r="AF31" s="34">
        <v>73.23</v>
      </c>
      <c r="AG31" s="34">
        <v>76.5</v>
      </c>
      <c r="AH31" s="34">
        <v>82.46</v>
      </c>
      <c r="AI31" s="34">
        <v>83.2</v>
      </c>
      <c r="AJ31" s="34">
        <v>81.8</v>
      </c>
      <c r="AK31" s="34">
        <v>83.06</v>
      </c>
      <c r="AL31" s="34">
        <v>82.66</v>
      </c>
      <c r="AM31" s="34">
        <v>73.9</v>
      </c>
      <c r="AN31" s="34">
        <v>72.65</v>
      </c>
      <c r="AO31" s="34">
        <v>77.64</v>
      </c>
      <c r="AP31" s="34">
        <v>78.28</v>
      </c>
      <c r="AQ31" s="34">
        <v>75</v>
      </c>
      <c r="AR31" s="34">
        <v>77</v>
      </c>
      <c r="AS31" s="34">
        <v>80.5</v>
      </c>
      <c r="AT31" s="34">
        <v>81.46</v>
      </c>
      <c r="AU31" s="34">
        <v>79.26</v>
      </c>
      <c r="AV31" s="34">
        <v>82.4</v>
      </c>
      <c r="AW31" s="34">
        <v>82.8</v>
      </c>
      <c r="AX31" s="34">
        <v>78.84</v>
      </c>
      <c r="AY31" s="34">
        <v>75.5</v>
      </c>
      <c r="AZ31" s="34">
        <v>82.2</v>
      </c>
      <c r="BA31" s="34">
        <v>82.2</v>
      </c>
      <c r="BB31" s="34">
        <v>83.52</v>
      </c>
      <c r="BC31" s="34">
        <v>72.4</v>
      </c>
      <c r="BD31" s="34">
        <v>81.61</v>
      </c>
    </row>
    <row r="32" s="22" customFormat="1" spans="1:56">
      <c r="A32" s="24"/>
      <c r="B32" s="33">
        <f>tblIndicators!D27</f>
        <v>3</v>
      </c>
      <c r="C32" s="24">
        <f>tblIndicators!M27</f>
        <v>2</v>
      </c>
      <c r="D32" s="24">
        <v>1</v>
      </c>
      <c r="E32" s="33" t="str">
        <f>tblIndicators!Z27</f>
        <v>2.2.4) Infant mortality (deaths per 1,000 live births)</v>
      </c>
      <c r="F32" s="28" t="str">
        <f>IF($C32&gt;1,tblIndicators!J27,"")</f>
        <v>Deaths per 1,000 births</v>
      </c>
      <c r="G32" s="34">
        <v>2</v>
      </c>
      <c r="H32" s="34">
        <v>5</v>
      </c>
      <c r="I32" s="34">
        <v>8.1</v>
      </c>
      <c r="J32" s="34">
        <v>12.4</v>
      </c>
      <c r="K32" s="34">
        <v>19.88</v>
      </c>
      <c r="L32" s="34">
        <v>4.7</v>
      </c>
      <c r="M32" s="34">
        <v>2.9</v>
      </c>
      <c r="N32" s="34">
        <v>6.4</v>
      </c>
      <c r="O32" s="34">
        <v>4.9</v>
      </c>
      <c r="P32" s="34">
        <v>6.8</v>
      </c>
      <c r="Q32" s="34">
        <v>18</v>
      </c>
      <c r="R32" s="34">
        <v>10</v>
      </c>
      <c r="S32" s="34">
        <v>7.1</v>
      </c>
      <c r="T32" s="34">
        <v>4.7</v>
      </c>
      <c r="U32" s="34">
        <v>5.1</v>
      </c>
      <c r="V32" s="34">
        <v>3.2</v>
      </c>
      <c r="W32" s="34">
        <v>3.3</v>
      </c>
      <c r="X32" s="34">
        <v>1.3</v>
      </c>
      <c r="Y32" s="34">
        <v>2.84</v>
      </c>
      <c r="Z32" s="34">
        <v>5.7</v>
      </c>
      <c r="AA32" s="34">
        <v>12</v>
      </c>
      <c r="AB32" s="34">
        <v>12</v>
      </c>
      <c r="AC32" s="34">
        <v>12</v>
      </c>
      <c r="AD32" s="34">
        <v>34.6</v>
      </c>
      <c r="AE32" s="34">
        <v>23.93</v>
      </c>
      <c r="AF32" s="34">
        <v>14</v>
      </c>
      <c r="AG32" s="34">
        <v>39</v>
      </c>
      <c r="AH32" s="34">
        <v>2.2</v>
      </c>
      <c r="AI32" s="34">
        <v>2.1</v>
      </c>
      <c r="AJ32" s="34">
        <v>2.7</v>
      </c>
      <c r="AK32" s="34">
        <v>4.77</v>
      </c>
      <c r="AL32" s="34">
        <v>3.77</v>
      </c>
      <c r="AM32" s="34">
        <v>7.1</v>
      </c>
      <c r="AN32" s="34">
        <v>20.24</v>
      </c>
      <c r="AO32" s="34">
        <v>7.51</v>
      </c>
      <c r="AP32" s="34">
        <v>6.42</v>
      </c>
      <c r="AQ32" s="34">
        <v>15.61</v>
      </c>
      <c r="AR32" s="34">
        <v>6.3</v>
      </c>
      <c r="AS32" s="34">
        <v>2.8</v>
      </c>
      <c r="AT32" s="34">
        <v>3.37</v>
      </c>
      <c r="AU32" s="34">
        <v>0.8</v>
      </c>
      <c r="AV32" s="34">
        <v>6.5</v>
      </c>
      <c r="AW32" s="34">
        <v>2.71</v>
      </c>
      <c r="AX32" s="34">
        <v>4.2</v>
      </c>
      <c r="AY32" s="34">
        <v>7.4</v>
      </c>
      <c r="AZ32" s="34">
        <v>3.4</v>
      </c>
      <c r="BA32" s="34">
        <v>3.33</v>
      </c>
      <c r="BB32" s="34">
        <v>4.6</v>
      </c>
      <c r="BC32" s="34">
        <v>5.5</v>
      </c>
      <c r="BD32" s="34">
        <v>4.6</v>
      </c>
    </row>
    <row r="33" s="22" customFormat="1" spans="1:56">
      <c r="A33" s="24"/>
      <c r="B33" s="33">
        <f>tblIndicators!D28</f>
        <v>3</v>
      </c>
      <c r="C33" s="24">
        <f>tblIndicators!M28</f>
        <v>2</v>
      </c>
      <c r="D33" s="24">
        <v>1</v>
      </c>
      <c r="E33" s="33" t="str">
        <f>tblIndicators!Z28</f>
        <v>2.2.5) Cancer mortality rate ( Cancer deaths per 100,000)</v>
      </c>
      <c r="F33" s="28" t="str">
        <f>IF($C33&gt;1,tblIndicators!J28,"")</f>
        <v>Cancer deaths per 100,000</v>
      </c>
      <c r="G33" s="34">
        <v>179.5</v>
      </c>
      <c r="H33" s="34">
        <v>67.21</v>
      </c>
      <c r="I33" s="34">
        <v>115.13</v>
      </c>
      <c r="J33" s="34">
        <v>103.72</v>
      </c>
      <c r="K33" s="34">
        <v>103.72</v>
      </c>
      <c r="L33" s="34">
        <v>354.01</v>
      </c>
      <c r="M33" s="34">
        <v>166.04</v>
      </c>
      <c r="N33" s="34">
        <v>143.2</v>
      </c>
      <c r="O33" s="34">
        <v>165.5</v>
      </c>
      <c r="P33" s="34">
        <v>187.3</v>
      </c>
      <c r="Q33" s="34">
        <v>68.91</v>
      </c>
      <c r="R33" s="34">
        <v>92.1</v>
      </c>
      <c r="S33" s="34">
        <v>1.77</v>
      </c>
      <c r="T33" s="34">
        <v>1.63</v>
      </c>
      <c r="U33" s="34">
        <v>198.41</v>
      </c>
      <c r="V33" s="34">
        <v>174</v>
      </c>
      <c r="W33" s="34">
        <v>189</v>
      </c>
      <c r="X33" s="34">
        <v>109.7</v>
      </c>
      <c r="Y33" s="34">
        <v>122.19</v>
      </c>
      <c r="Z33" s="34">
        <v>133</v>
      </c>
      <c r="AA33" s="34">
        <v>122.19</v>
      </c>
      <c r="AB33" s="34">
        <v>144</v>
      </c>
      <c r="AC33" s="34">
        <v>122.19</v>
      </c>
      <c r="AD33" s="34">
        <v>64.49</v>
      </c>
      <c r="AE33" s="34">
        <v>37.81</v>
      </c>
      <c r="AF33" s="34">
        <v>89.28</v>
      </c>
      <c r="AG33" s="34">
        <v>81.9</v>
      </c>
      <c r="AH33" s="34">
        <v>254.9</v>
      </c>
      <c r="AI33" s="34">
        <v>291</v>
      </c>
      <c r="AJ33" s="34">
        <v>90.5</v>
      </c>
      <c r="AK33" s="34">
        <v>119.6</v>
      </c>
      <c r="AL33" s="34">
        <v>193.01</v>
      </c>
      <c r="AM33" s="34">
        <v>145.1</v>
      </c>
      <c r="AN33" s="34">
        <v>108.65</v>
      </c>
      <c r="AO33" s="34">
        <v>54.75</v>
      </c>
      <c r="AP33" s="34">
        <v>69.39</v>
      </c>
      <c r="AQ33" s="34">
        <v>53.85</v>
      </c>
      <c r="AR33" s="34">
        <v>406</v>
      </c>
      <c r="AS33" s="34">
        <v>231.5</v>
      </c>
      <c r="AT33" s="34">
        <v>177</v>
      </c>
      <c r="AU33" s="34">
        <v>100.82</v>
      </c>
      <c r="AV33" s="34">
        <v>134.04</v>
      </c>
      <c r="AW33" s="34">
        <v>136.84</v>
      </c>
      <c r="AX33" s="34">
        <v>199.36</v>
      </c>
      <c r="AY33" s="34">
        <v>122.55</v>
      </c>
      <c r="AZ33" s="34">
        <v>98.06</v>
      </c>
      <c r="BA33" s="34">
        <v>98.06</v>
      </c>
      <c r="BB33" s="34">
        <v>92.48</v>
      </c>
      <c r="BC33" s="34">
        <v>128.85</v>
      </c>
      <c r="BD33" s="34">
        <v>171.43</v>
      </c>
    </row>
    <row r="34" spans="1:56">
      <c r="A34" s="24"/>
      <c r="B34" s="27">
        <f>tblIndicators!D29</f>
        <v>1</v>
      </c>
      <c r="C34" s="24">
        <f>tblIndicators!M29</f>
        <v>1</v>
      </c>
      <c r="D34" s="24">
        <v>1</v>
      </c>
      <c r="E34" s="27" t="str">
        <f>tblIndicators!Z29</f>
        <v>3) INFRASTRUCTURE SAFETY</v>
      </c>
      <c r="F34" s="28" t="str">
        <f>IF($C34&gt;1,tblIndicators!J29,"")</f>
        <v/>
      </c>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row>
    <row r="35" s="21" customFormat="1" spans="1:56">
      <c r="A35" s="30"/>
      <c r="B35" s="31">
        <f>tblIndicators!D30</f>
        <v>2</v>
      </c>
      <c r="C35" s="30">
        <f>tblIndicators!M30</f>
        <v>1</v>
      </c>
      <c r="D35" s="30">
        <v>1</v>
      </c>
      <c r="E35" s="31" t="str">
        <f>tblIndicators!Z30</f>
        <v>3.1) Infrastructure Safety (Inputs)</v>
      </c>
      <c r="F35" s="32" t="str">
        <f>IF($C35&gt;1,tblIndicators!J30,"")</f>
        <v/>
      </c>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row>
    <row r="36" s="22" customFormat="1" spans="1:56">
      <c r="A36" s="24"/>
      <c r="B36" s="33">
        <f>tblIndicators!D31</f>
        <v>3</v>
      </c>
      <c r="C36" s="24">
        <f>tblIndicators!M31</f>
        <v>3</v>
      </c>
      <c r="D36" s="24">
        <v>1</v>
      </c>
      <c r="E36" s="33" t="str">
        <f>tblIndicators!Z31</f>
        <v>3.1.1) Enforcement of transport safety</v>
      </c>
      <c r="F36" s="28" t="str">
        <f>IF($C36&gt;1,tblIndicators!J31,"")</f>
        <v>Scale 0-10</v>
      </c>
      <c r="G36" s="29">
        <v>6.26</v>
      </c>
      <c r="H36" s="29">
        <v>3</v>
      </c>
      <c r="I36" s="29">
        <v>6</v>
      </c>
      <c r="J36" s="29">
        <v>6.25</v>
      </c>
      <c r="K36" s="29">
        <v>6.25</v>
      </c>
      <c r="L36" s="29">
        <v>7.5</v>
      </c>
      <c r="M36" s="29">
        <v>7.5</v>
      </c>
      <c r="N36" s="29">
        <v>7.5</v>
      </c>
      <c r="O36" s="29">
        <v>7.5</v>
      </c>
      <c r="P36" s="29">
        <v>7.5</v>
      </c>
      <c r="Q36" s="29">
        <v>5</v>
      </c>
      <c r="R36" s="29">
        <v>4.25</v>
      </c>
      <c r="S36" s="29">
        <v>5.5</v>
      </c>
      <c r="T36" s="29">
        <v>7.5</v>
      </c>
      <c r="U36" s="29">
        <v>7.5</v>
      </c>
      <c r="V36" s="29">
        <v>7.75</v>
      </c>
      <c r="W36" s="29">
        <v>7.75</v>
      </c>
      <c r="X36" s="29"/>
      <c r="Y36" s="29">
        <v>4.25</v>
      </c>
      <c r="Z36" s="29">
        <v>4.25</v>
      </c>
      <c r="AA36" s="29">
        <v>4.25</v>
      </c>
      <c r="AB36" s="29">
        <v>4.25</v>
      </c>
      <c r="AC36" s="29">
        <v>4.25</v>
      </c>
      <c r="AD36" s="29">
        <v>2.5</v>
      </c>
      <c r="AE36" s="29">
        <v>2.5</v>
      </c>
      <c r="AF36" s="29">
        <v>6.25</v>
      </c>
      <c r="AG36" s="29">
        <v>5.5</v>
      </c>
      <c r="AH36" s="29">
        <v>7.75</v>
      </c>
      <c r="AI36" s="29">
        <v>7.75</v>
      </c>
      <c r="AJ36" s="29">
        <v>8.25</v>
      </c>
      <c r="AK36" s="29">
        <v>7.25</v>
      </c>
      <c r="AL36" s="29"/>
      <c r="AM36" s="29">
        <v>5</v>
      </c>
      <c r="AN36" s="49"/>
      <c r="AO36" s="49">
        <v>3</v>
      </c>
      <c r="AP36" s="49">
        <v>7</v>
      </c>
      <c r="AQ36" s="49">
        <v>6.75</v>
      </c>
      <c r="AR36" s="49">
        <v>8.25</v>
      </c>
      <c r="AS36" s="29">
        <v>6</v>
      </c>
      <c r="AT36" s="29">
        <v>8.75</v>
      </c>
      <c r="AU36" s="29">
        <v>7.75</v>
      </c>
      <c r="AV36" s="29">
        <v>6.75</v>
      </c>
      <c r="AW36" s="29">
        <v>6.75</v>
      </c>
      <c r="AX36" s="29">
        <v>7</v>
      </c>
      <c r="AY36" s="29">
        <v>6</v>
      </c>
      <c r="AZ36" s="29">
        <v>7.25</v>
      </c>
      <c r="BA36" s="29">
        <v>7.25</v>
      </c>
      <c r="BB36" s="29">
        <v>7</v>
      </c>
      <c r="BC36" s="29">
        <v>8</v>
      </c>
      <c r="BD36" s="29">
        <v>7.875</v>
      </c>
    </row>
    <row r="37" s="22" customFormat="1" spans="1:56">
      <c r="A37" s="24"/>
      <c r="B37" s="33">
        <f>tblIndicators!D32</f>
        <v>3</v>
      </c>
      <c r="C37" s="24">
        <f>tblIndicators!M32</f>
        <v>3</v>
      </c>
      <c r="D37" s="24">
        <v>1</v>
      </c>
      <c r="E37" s="33" t="str">
        <f>tblIndicators!Z32</f>
        <v>3.1.2) Pedestrian friendliness</v>
      </c>
      <c r="F37" s="28" t="str">
        <f>IF($C37&gt;1,tblIndicators!J32,"")</f>
        <v>Scale 1-5</v>
      </c>
      <c r="G37" s="34">
        <v>5</v>
      </c>
      <c r="H37" s="34">
        <v>5</v>
      </c>
      <c r="I37" s="34">
        <v>5</v>
      </c>
      <c r="J37" s="34">
        <v>5</v>
      </c>
      <c r="K37" s="34">
        <v>5</v>
      </c>
      <c r="L37" s="34">
        <v>5</v>
      </c>
      <c r="M37" s="34">
        <v>5</v>
      </c>
      <c r="N37" s="34">
        <v>5</v>
      </c>
      <c r="O37" s="34">
        <v>5</v>
      </c>
      <c r="P37" s="34">
        <v>5</v>
      </c>
      <c r="Q37" s="34">
        <v>5</v>
      </c>
      <c r="R37" s="34">
        <v>5</v>
      </c>
      <c r="S37" s="34">
        <v>0</v>
      </c>
      <c r="T37" s="34">
        <v>5</v>
      </c>
      <c r="U37" s="34">
        <v>5</v>
      </c>
      <c r="V37" s="34">
        <v>5</v>
      </c>
      <c r="W37" s="34">
        <v>5</v>
      </c>
      <c r="X37" s="34">
        <v>5</v>
      </c>
      <c r="Y37" s="34">
        <v>5</v>
      </c>
      <c r="Z37" s="34">
        <v>5</v>
      </c>
      <c r="AA37" s="34">
        <v>5</v>
      </c>
      <c r="AB37" s="34">
        <v>5</v>
      </c>
      <c r="AC37" s="34">
        <v>5</v>
      </c>
      <c r="AD37" s="34">
        <v>2.5</v>
      </c>
      <c r="AE37" s="34">
        <v>2.5</v>
      </c>
      <c r="AF37" s="34">
        <v>2.5</v>
      </c>
      <c r="AG37" s="34">
        <v>2.5</v>
      </c>
      <c r="AH37" s="34">
        <v>5</v>
      </c>
      <c r="AI37" s="34">
        <v>5</v>
      </c>
      <c r="AJ37" s="34">
        <v>5</v>
      </c>
      <c r="AK37" s="34">
        <v>5</v>
      </c>
      <c r="AL37" s="34">
        <v>5</v>
      </c>
      <c r="AM37" s="34">
        <v>0</v>
      </c>
      <c r="AN37" s="34">
        <v>0</v>
      </c>
      <c r="AO37" s="34">
        <v>0</v>
      </c>
      <c r="AP37" s="34">
        <v>0</v>
      </c>
      <c r="AQ37" s="34">
        <v>0</v>
      </c>
      <c r="AR37" s="34">
        <v>5</v>
      </c>
      <c r="AS37" s="34">
        <v>5</v>
      </c>
      <c r="AT37" s="34">
        <v>0</v>
      </c>
      <c r="AU37" s="34">
        <v>5</v>
      </c>
      <c r="AV37" s="34">
        <v>5</v>
      </c>
      <c r="AW37" s="34">
        <v>5</v>
      </c>
      <c r="AX37" s="34">
        <v>5</v>
      </c>
      <c r="AY37" s="34">
        <v>5</v>
      </c>
      <c r="AZ37" s="34">
        <v>5</v>
      </c>
      <c r="BA37" s="34">
        <v>5</v>
      </c>
      <c r="BB37" s="34">
        <v>5</v>
      </c>
      <c r="BC37" s="34">
        <v>5</v>
      </c>
      <c r="BD37" s="34">
        <v>0</v>
      </c>
    </row>
    <row r="38" s="22" customFormat="1" spans="1:56">
      <c r="A38" s="24"/>
      <c r="B38" s="33">
        <f>tblIndicators!D33</f>
        <v>3</v>
      </c>
      <c r="C38" s="24">
        <f>tblIndicators!M33</f>
        <v>3</v>
      </c>
      <c r="D38" s="24">
        <v>1</v>
      </c>
      <c r="E38" s="33" t="str">
        <f>tblIndicators!Z33</f>
        <v>3.1.3) Quality of road infrastructure</v>
      </c>
      <c r="F38" s="28" t="str">
        <f>IF($C38&gt;1,tblIndicators!J33,"")</f>
        <v>Scale 1-5</v>
      </c>
      <c r="G38" s="34">
        <v>4</v>
      </c>
      <c r="H38" s="34">
        <v>3</v>
      </c>
      <c r="I38" s="34">
        <v>2</v>
      </c>
      <c r="J38" s="34">
        <v>2</v>
      </c>
      <c r="K38" s="34">
        <v>3</v>
      </c>
      <c r="L38" s="34">
        <v>2</v>
      </c>
      <c r="M38" s="34">
        <v>2</v>
      </c>
      <c r="N38" s="34">
        <v>2</v>
      </c>
      <c r="O38" s="34">
        <v>2</v>
      </c>
      <c r="P38" s="34">
        <v>2</v>
      </c>
      <c r="Q38" s="34">
        <v>3</v>
      </c>
      <c r="R38" s="34">
        <v>2</v>
      </c>
      <c r="S38" s="34">
        <v>2</v>
      </c>
      <c r="T38" s="34">
        <v>2</v>
      </c>
      <c r="U38" s="34">
        <v>2</v>
      </c>
      <c r="V38" s="34">
        <v>1</v>
      </c>
      <c r="W38" s="34">
        <v>1</v>
      </c>
      <c r="X38" s="34">
        <v>1</v>
      </c>
      <c r="Y38" s="34">
        <v>2</v>
      </c>
      <c r="Z38" s="34">
        <v>2</v>
      </c>
      <c r="AA38" s="34">
        <v>2</v>
      </c>
      <c r="AB38" s="34">
        <v>2</v>
      </c>
      <c r="AC38" s="34">
        <v>2</v>
      </c>
      <c r="AD38" s="34">
        <v>5</v>
      </c>
      <c r="AE38" s="34">
        <v>3</v>
      </c>
      <c r="AF38" s="34">
        <v>3</v>
      </c>
      <c r="AG38" s="34">
        <v>3</v>
      </c>
      <c r="AH38" s="34">
        <v>1</v>
      </c>
      <c r="AI38" s="34">
        <v>1</v>
      </c>
      <c r="AJ38" s="34">
        <v>1</v>
      </c>
      <c r="AK38" s="34">
        <v>2</v>
      </c>
      <c r="AL38" s="34">
        <v>2</v>
      </c>
      <c r="AM38" s="34">
        <v>4</v>
      </c>
      <c r="AN38" s="34">
        <v>4</v>
      </c>
      <c r="AO38" s="34">
        <v>2</v>
      </c>
      <c r="AP38" s="34">
        <v>2</v>
      </c>
      <c r="AQ38" s="34">
        <v>3</v>
      </c>
      <c r="AR38" s="34">
        <v>1</v>
      </c>
      <c r="AS38" s="34">
        <v>2</v>
      </c>
      <c r="AT38" s="34">
        <v>2</v>
      </c>
      <c r="AU38" s="34">
        <v>1</v>
      </c>
      <c r="AV38" s="34">
        <v>1</v>
      </c>
      <c r="AW38" s="34">
        <v>2</v>
      </c>
      <c r="AX38" s="34">
        <v>1</v>
      </c>
      <c r="AY38" s="34">
        <v>2</v>
      </c>
      <c r="AZ38" s="34">
        <v>1</v>
      </c>
      <c r="BA38" s="34">
        <v>1</v>
      </c>
      <c r="BB38" s="34">
        <v>1</v>
      </c>
      <c r="BC38" s="34">
        <v>3</v>
      </c>
      <c r="BD38" s="34">
        <v>2</v>
      </c>
    </row>
    <row r="39" s="22" customFormat="1" spans="1:56">
      <c r="A39" s="24"/>
      <c r="B39" s="33">
        <f>tblIndicators!D34</f>
        <v>3</v>
      </c>
      <c r="C39" s="24">
        <f>tblIndicators!M34</f>
        <v>3</v>
      </c>
      <c r="D39" s="24">
        <v>1</v>
      </c>
      <c r="E39" s="33" t="str">
        <f>tblIndicators!Z34</f>
        <v>3.1.4) Quality of electricity infrastructure</v>
      </c>
      <c r="F39" s="28" t="str">
        <f>IF($C39&gt;1,tblIndicators!J34,"")</f>
        <v>Scale 1-5</v>
      </c>
      <c r="G39" s="34">
        <v>2</v>
      </c>
      <c r="H39" s="34">
        <v>3</v>
      </c>
      <c r="I39" s="34">
        <v>1</v>
      </c>
      <c r="J39" s="34">
        <v>2</v>
      </c>
      <c r="K39" s="34">
        <v>1</v>
      </c>
      <c r="L39" s="34">
        <v>1</v>
      </c>
      <c r="M39" s="34">
        <v>1</v>
      </c>
      <c r="N39" s="34">
        <v>1</v>
      </c>
      <c r="O39" s="34">
        <v>1</v>
      </c>
      <c r="P39" s="34">
        <v>1</v>
      </c>
      <c r="Q39" s="34">
        <v>3</v>
      </c>
      <c r="R39" s="34">
        <v>1</v>
      </c>
      <c r="S39" s="34">
        <v>1</v>
      </c>
      <c r="T39" s="34">
        <v>1</v>
      </c>
      <c r="U39" s="34">
        <v>1</v>
      </c>
      <c r="V39" s="34">
        <v>1</v>
      </c>
      <c r="W39" s="34">
        <v>1</v>
      </c>
      <c r="X39" s="34">
        <v>1</v>
      </c>
      <c r="Y39" s="34">
        <v>1</v>
      </c>
      <c r="Z39" s="34">
        <v>1</v>
      </c>
      <c r="AA39" s="34">
        <v>1</v>
      </c>
      <c r="AB39" s="34">
        <v>2</v>
      </c>
      <c r="AC39" s="34">
        <v>1</v>
      </c>
      <c r="AD39" s="34">
        <v>2</v>
      </c>
      <c r="AE39" s="34">
        <v>3</v>
      </c>
      <c r="AF39" s="34">
        <v>3</v>
      </c>
      <c r="AG39" s="34">
        <v>4</v>
      </c>
      <c r="AH39" s="34">
        <v>1</v>
      </c>
      <c r="AI39" s="34">
        <v>1</v>
      </c>
      <c r="AJ39" s="34">
        <v>1</v>
      </c>
      <c r="AK39" s="34">
        <v>1</v>
      </c>
      <c r="AL39" s="34">
        <v>2</v>
      </c>
      <c r="AM39" s="34">
        <v>1</v>
      </c>
      <c r="AN39" s="34">
        <v>3</v>
      </c>
      <c r="AO39" s="34">
        <v>1</v>
      </c>
      <c r="AP39" s="34">
        <v>2</v>
      </c>
      <c r="AQ39" s="34">
        <v>2</v>
      </c>
      <c r="AR39" s="34">
        <v>2</v>
      </c>
      <c r="AS39" s="34">
        <v>1</v>
      </c>
      <c r="AT39" s="34">
        <v>1</v>
      </c>
      <c r="AU39" s="34">
        <v>1</v>
      </c>
      <c r="AV39" s="34">
        <v>1</v>
      </c>
      <c r="AW39" s="34">
        <v>1</v>
      </c>
      <c r="AX39" s="34">
        <v>1</v>
      </c>
      <c r="AY39" s="34">
        <v>1</v>
      </c>
      <c r="AZ39" s="34">
        <v>1</v>
      </c>
      <c r="BA39" s="34">
        <v>1</v>
      </c>
      <c r="BB39" s="34">
        <v>1</v>
      </c>
      <c r="BC39" s="34">
        <v>2</v>
      </c>
      <c r="BD39" s="34">
        <v>1</v>
      </c>
    </row>
    <row r="40" s="22" customFormat="1" spans="1:56">
      <c r="A40" s="24"/>
      <c r="B40" s="33">
        <f>tblIndicators!D35</f>
        <v>3</v>
      </c>
      <c r="C40" s="24">
        <f>tblIndicators!M35</f>
        <v>3</v>
      </c>
      <c r="D40" s="24">
        <v>1</v>
      </c>
      <c r="E40" s="33" t="str">
        <f>tblIndicators!Z35</f>
        <v>3.1.5) Disaster Management/Business Continuity Plan</v>
      </c>
      <c r="F40" s="28" t="str">
        <f>IF($C40&gt;1,tblIndicators!J35,"")</f>
        <v>Scale 1-5</v>
      </c>
      <c r="G40" s="34">
        <v>1</v>
      </c>
      <c r="H40" s="34">
        <v>3</v>
      </c>
      <c r="I40" s="34">
        <v>1</v>
      </c>
      <c r="J40" s="34">
        <v>2</v>
      </c>
      <c r="K40" s="34">
        <v>3</v>
      </c>
      <c r="L40" s="34">
        <v>2</v>
      </c>
      <c r="M40" s="34">
        <v>1</v>
      </c>
      <c r="N40" s="34">
        <v>1</v>
      </c>
      <c r="O40" s="34">
        <v>1</v>
      </c>
      <c r="P40" s="34">
        <v>1</v>
      </c>
      <c r="Q40" s="34">
        <v>2</v>
      </c>
      <c r="R40" s="34">
        <v>1</v>
      </c>
      <c r="S40" s="34">
        <v>1</v>
      </c>
      <c r="T40" s="34">
        <v>1</v>
      </c>
      <c r="U40" s="34">
        <v>1</v>
      </c>
      <c r="V40" s="34">
        <v>1</v>
      </c>
      <c r="W40" s="34">
        <v>1</v>
      </c>
      <c r="X40" s="34">
        <v>1</v>
      </c>
      <c r="Y40" s="34">
        <v>3</v>
      </c>
      <c r="Z40" s="34">
        <v>3</v>
      </c>
      <c r="AA40" s="34">
        <v>3</v>
      </c>
      <c r="AB40" s="34">
        <v>2</v>
      </c>
      <c r="AC40" s="34">
        <v>3</v>
      </c>
      <c r="AD40" s="34">
        <v>4</v>
      </c>
      <c r="AE40" s="34">
        <v>4</v>
      </c>
      <c r="AF40" s="34">
        <v>3</v>
      </c>
      <c r="AG40" s="34">
        <v>3</v>
      </c>
      <c r="AH40" s="34">
        <v>1</v>
      </c>
      <c r="AI40" s="34">
        <v>1</v>
      </c>
      <c r="AJ40" s="34">
        <v>1</v>
      </c>
      <c r="AK40" s="34">
        <v>2</v>
      </c>
      <c r="AL40" s="34">
        <v>2</v>
      </c>
      <c r="AM40" s="34">
        <v>2</v>
      </c>
      <c r="AN40" s="34">
        <v>3</v>
      </c>
      <c r="AO40" s="34">
        <v>2</v>
      </c>
      <c r="AP40" s="34">
        <v>1</v>
      </c>
      <c r="AQ40" s="34">
        <v>3</v>
      </c>
      <c r="AR40" s="34">
        <v>2</v>
      </c>
      <c r="AS40" s="34">
        <v>1</v>
      </c>
      <c r="AT40" s="34">
        <v>1</v>
      </c>
      <c r="AU40" s="34">
        <v>1</v>
      </c>
      <c r="AV40" s="34">
        <v>1</v>
      </c>
      <c r="AW40" s="34">
        <v>1</v>
      </c>
      <c r="AX40" s="34">
        <v>1</v>
      </c>
      <c r="AY40" s="34">
        <v>3</v>
      </c>
      <c r="AZ40" s="34">
        <v>1</v>
      </c>
      <c r="BA40" s="34">
        <v>1</v>
      </c>
      <c r="BB40" s="34">
        <v>1</v>
      </c>
      <c r="BC40" s="34">
        <v>2</v>
      </c>
      <c r="BD40" s="34">
        <v>1</v>
      </c>
    </row>
    <row r="41" s="21" customFormat="1" spans="1:56">
      <c r="A41" s="30"/>
      <c r="B41" s="31">
        <f>tblIndicators!D36</f>
        <v>2</v>
      </c>
      <c r="C41" s="30">
        <f>tblIndicators!M36</f>
        <v>1</v>
      </c>
      <c r="D41" s="30">
        <v>1</v>
      </c>
      <c r="E41" s="31" t="str">
        <f>tblIndicators!Z36</f>
        <v>3.2) Infrastructure Safety (Outputs)</v>
      </c>
      <c r="F41" s="32" t="str">
        <f>IF($C41&gt;1,tblIndicators!J36,"")</f>
        <v/>
      </c>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row>
    <row r="42" s="22" customFormat="1" spans="1:56">
      <c r="A42" s="24"/>
      <c r="B42" s="33">
        <f>tblIndicators!D37</f>
        <v>3</v>
      </c>
      <c r="C42" s="24">
        <f>tblIndicators!M37</f>
        <v>2</v>
      </c>
      <c r="D42" s="24">
        <v>1</v>
      </c>
      <c r="E42" s="33" t="str">
        <f>tblIndicators!Z37</f>
        <v>3.2.1) Death from natural disasters</v>
      </c>
      <c r="F42" s="28" t="str">
        <f>IF($C42&gt;1,tblIndicators!J37,"")</f>
        <v>#/year/m</v>
      </c>
      <c r="G42" s="29">
        <v>1.4</v>
      </c>
      <c r="H42" s="29">
        <v>7.27272727272727</v>
      </c>
      <c r="I42" s="29">
        <v>6.12903225806452</v>
      </c>
      <c r="J42" s="29">
        <v>183.333333333333</v>
      </c>
      <c r="K42" s="29">
        <v>34.6456692913386</v>
      </c>
      <c r="L42" s="29">
        <v>3.5</v>
      </c>
      <c r="M42" s="29">
        <v>17.5</v>
      </c>
      <c r="N42" s="29">
        <v>1.42857142857143</v>
      </c>
      <c r="O42" s="29">
        <v>2.42424242424242</v>
      </c>
      <c r="P42" s="29">
        <v>14.3646408839779</v>
      </c>
      <c r="Q42" s="29">
        <v>4.4</v>
      </c>
      <c r="R42" s="29">
        <v>27.7906976744186</v>
      </c>
      <c r="S42" s="29">
        <v>9.71428571428571</v>
      </c>
      <c r="T42" s="29">
        <v>2.61904761904762</v>
      </c>
      <c r="U42" s="29">
        <v>0.579710144927536</v>
      </c>
      <c r="V42" s="29">
        <v>37.0588235294118</v>
      </c>
      <c r="W42" s="29">
        <v>37.0588235294118</v>
      </c>
      <c r="X42" s="29">
        <v>0</v>
      </c>
      <c r="Y42" s="29">
        <v>3.67441860465116</v>
      </c>
      <c r="Z42" s="29">
        <v>0.165631469979296</v>
      </c>
      <c r="AA42" s="29">
        <v>4.89181561618062</v>
      </c>
      <c r="AB42" s="29">
        <v>5.23138832997988</v>
      </c>
      <c r="AC42" s="29">
        <v>7.57430488974113</v>
      </c>
      <c r="AD42" s="29">
        <v>0</v>
      </c>
      <c r="AE42" s="29">
        <v>56.32</v>
      </c>
      <c r="AF42" s="29">
        <v>2113.64705882353</v>
      </c>
      <c r="AG42" s="29">
        <v>11.1666666666667</v>
      </c>
      <c r="AH42" s="29">
        <v>212.5</v>
      </c>
      <c r="AI42" s="29">
        <v>796.896551724138</v>
      </c>
      <c r="AJ42" s="29">
        <v>6.85714285714286</v>
      </c>
      <c r="AK42" s="29">
        <v>2.84313725490196</v>
      </c>
      <c r="AL42" s="29">
        <v>34.2307692307692</v>
      </c>
      <c r="AM42" s="29">
        <v>72.3571428571429</v>
      </c>
      <c r="AN42" s="49">
        <v>32.1111111111111</v>
      </c>
      <c r="AO42" s="49">
        <v>0</v>
      </c>
      <c r="AP42" s="49">
        <v>0</v>
      </c>
      <c r="AQ42" s="49">
        <v>0.642857142857143</v>
      </c>
      <c r="AR42" s="49">
        <v>0</v>
      </c>
      <c r="AS42" s="29">
        <v>87</v>
      </c>
      <c r="AT42" s="29">
        <v>15.45</v>
      </c>
      <c r="AU42" s="29">
        <v>16.6666666666667</v>
      </c>
      <c r="AV42" s="29">
        <v>19.2307692307692</v>
      </c>
      <c r="AW42" s="29">
        <v>38.4615384615385</v>
      </c>
      <c r="AX42" s="29">
        <v>126.25</v>
      </c>
      <c r="AY42" s="29">
        <v>470.5</v>
      </c>
      <c r="AZ42" s="29">
        <v>4.33333333333333</v>
      </c>
      <c r="BA42" s="29">
        <v>8.66666666666667</v>
      </c>
      <c r="BB42" s="29">
        <v>5</v>
      </c>
      <c r="BC42" s="29">
        <v>7.92307692307692</v>
      </c>
      <c r="BD42" s="29">
        <v>9.88095238095238</v>
      </c>
    </row>
    <row r="43" s="22" customFormat="1" spans="1:56">
      <c r="A43" s="24"/>
      <c r="B43" s="33">
        <f>tblIndicators!D38</f>
        <v>3</v>
      </c>
      <c r="C43" s="24">
        <f>tblIndicators!M38</f>
        <v>2</v>
      </c>
      <c r="D43" s="24">
        <v>1</v>
      </c>
      <c r="E43" s="33" t="str">
        <f>tblIndicators!Z38</f>
        <v>3.2.2) Frequency of vehicular accidents</v>
      </c>
      <c r="F43" s="28" t="str">
        <f>IF($C43&gt;1,tblIndicators!J38,"")</f>
        <v>#/year/m</v>
      </c>
      <c r="G43" s="34">
        <v>155</v>
      </c>
      <c r="H43" s="34">
        <v>1951</v>
      </c>
      <c r="I43" s="34">
        <v>235.68</v>
      </c>
      <c r="J43" s="34">
        <v>236</v>
      </c>
      <c r="K43" s="34">
        <v>344</v>
      </c>
      <c r="L43" s="34">
        <v>427</v>
      </c>
      <c r="M43" s="34">
        <v>457</v>
      </c>
      <c r="N43" s="34">
        <v>863</v>
      </c>
      <c r="O43" s="34">
        <v>387</v>
      </c>
      <c r="P43" s="34">
        <v>597</v>
      </c>
      <c r="Q43" s="34">
        <v>3269</v>
      </c>
      <c r="R43" s="34">
        <v>610</v>
      </c>
      <c r="S43" s="34">
        <v>365</v>
      </c>
      <c r="T43" s="34">
        <v>825</v>
      </c>
      <c r="U43" s="34">
        <v>2914</v>
      </c>
      <c r="V43" s="34">
        <v>565</v>
      </c>
      <c r="W43" s="34">
        <v>341</v>
      </c>
      <c r="X43" s="34">
        <v>225</v>
      </c>
      <c r="Y43" s="34">
        <v>16.29</v>
      </c>
      <c r="Z43" s="34">
        <v>9.52</v>
      </c>
      <c r="AA43" s="34">
        <v>24.28</v>
      </c>
      <c r="AB43" s="34">
        <v>18</v>
      </c>
      <c r="AC43" s="34">
        <v>24</v>
      </c>
      <c r="AD43" s="34">
        <v>19</v>
      </c>
      <c r="AE43" s="34">
        <v>36</v>
      </c>
      <c r="AF43" s="34">
        <v>62</v>
      </c>
      <c r="AG43" s="34">
        <v>156</v>
      </c>
      <c r="AH43" s="34">
        <v>357</v>
      </c>
      <c r="AI43" s="34">
        <v>544</v>
      </c>
      <c r="AJ43" s="34">
        <v>118</v>
      </c>
      <c r="AK43" s="34">
        <v>400.28</v>
      </c>
      <c r="AL43" s="34">
        <v>762.38</v>
      </c>
      <c r="AM43" s="34">
        <v>315</v>
      </c>
      <c r="AN43" s="34">
        <v>32.5</v>
      </c>
      <c r="AO43" s="34">
        <v>1033.15</v>
      </c>
      <c r="AP43" s="34">
        <v>222</v>
      </c>
      <c r="AQ43" s="34">
        <v>2291</v>
      </c>
      <c r="AR43" s="34">
        <v>83</v>
      </c>
      <c r="AS43" s="34">
        <v>341</v>
      </c>
      <c r="AT43" s="34">
        <v>1061</v>
      </c>
      <c r="AU43" s="34">
        <v>2177</v>
      </c>
      <c r="AV43" s="34">
        <v>706</v>
      </c>
      <c r="AW43" s="34">
        <v>1282</v>
      </c>
      <c r="AX43" s="34">
        <v>54</v>
      </c>
      <c r="AY43" s="34">
        <v>104</v>
      </c>
      <c r="AZ43" s="34">
        <v>177</v>
      </c>
      <c r="BA43" s="34">
        <v>573</v>
      </c>
      <c r="BB43" s="34">
        <v>888</v>
      </c>
      <c r="BC43" s="34">
        <v>1574</v>
      </c>
      <c r="BD43" s="34">
        <v>217</v>
      </c>
    </row>
    <row r="44" s="22" customFormat="1" spans="1:56">
      <c r="A44" s="24"/>
      <c r="B44" s="33">
        <f>tblIndicators!D39</f>
        <v>3</v>
      </c>
      <c r="C44" s="24">
        <f>tblIndicators!M39</f>
        <v>2</v>
      </c>
      <c r="D44" s="24">
        <v>1</v>
      </c>
      <c r="E44" s="33" t="str">
        <f>tblIndicators!Z39</f>
        <v>3.2.3) Frequency of pedestrian deaths</v>
      </c>
      <c r="F44" s="28" t="str">
        <f>IF($C44&gt;1,tblIndicators!J39,"")</f>
        <v>#/year/m</v>
      </c>
      <c r="G44" s="34">
        <v>0.5</v>
      </c>
      <c r="H44" s="34">
        <v>9.4</v>
      </c>
      <c r="I44" s="34">
        <v>37.4</v>
      </c>
      <c r="J44" s="34">
        <v>5.6</v>
      </c>
      <c r="K44" s="34">
        <v>5.5</v>
      </c>
      <c r="L44" s="34">
        <v>2.6</v>
      </c>
      <c r="M44" s="34">
        <v>2</v>
      </c>
      <c r="N44" s="34">
        <v>0.4</v>
      </c>
      <c r="O44" s="34">
        <v>0.2</v>
      </c>
      <c r="P44" s="34">
        <v>1.8</v>
      </c>
      <c r="Q44" s="34">
        <v>53.8</v>
      </c>
      <c r="R44" s="34">
        <v>4.9</v>
      </c>
      <c r="S44" s="34">
        <v>11.7</v>
      </c>
      <c r="T44" s="34">
        <v>1.6</v>
      </c>
      <c r="U44" s="34">
        <v>1.3</v>
      </c>
      <c r="V44" s="34">
        <v>0.7</v>
      </c>
      <c r="W44" s="34">
        <v>0.6</v>
      </c>
      <c r="X44" s="34">
        <v>51</v>
      </c>
      <c r="Y44" s="34">
        <v>1.2</v>
      </c>
      <c r="Z44" s="34">
        <v>1</v>
      </c>
      <c r="AA44" s="34">
        <v>1.2</v>
      </c>
      <c r="AB44" s="34">
        <v>1</v>
      </c>
      <c r="AC44" s="34">
        <v>1</v>
      </c>
      <c r="AD44" s="34">
        <v>1.4</v>
      </c>
      <c r="AE44" s="34">
        <v>2.6</v>
      </c>
      <c r="AF44" s="34">
        <v>2.7</v>
      </c>
      <c r="AG44" s="34">
        <v>10.4</v>
      </c>
      <c r="AH44" s="34">
        <v>1.7</v>
      </c>
      <c r="AI44" s="34">
        <v>1.3</v>
      </c>
      <c r="AJ44" s="34">
        <v>0.8</v>
      </c>
      <c r="AK44" s="34">
        <v>1.6</v>
      </c>
      <c r="AL44" s="34">
        <v>0.9</v>
      </c>
      <c r="AM44" s="34">
        <v>1.45</v>
      </c>
      <c r="AN44" s="34">
        <v>0.82</v>
      </c>
      <c r="AO44" s="34">
        <v>9.1</v>
      </c>
      <c r="AP44" s="34">
        <v>4.2</v>
      </c>
      <c r="AQ44" s="34">
        <v>2.8</v>
      </c>
      <c r="AR44" s="34">
        <v>1.9</v>
      </c>
      <c r="AS44" s="34">
        <v>1</v>
      </c>
      <c r="AT44" s="34">
        <v>0.8</v>
      </c>
      <c r="AU44" s="34">
        <v>0.6</v>
      </c>
      <c r="AV44" s="34">
        <v>2.4</v>
      </c>
      <c r="AW44" s="34">
        <v>2.6</v>
      </c>
      <c r="AX44" s="34">
        <v>0.4</v>
      </c>
      <c r="AY44" s="34">
        <v>9.8</v>
      </c>
      <c r="AZ44" s="34">
        <v>0.3</v>
      </c>
      <c r="BA44" s="34">
        <v>0.7</v>
      </c>
      <c r="BB44" s="34">
        <v>0.9</v>
      </c>
      <c r="BC44" s="34">
        <v>1.1</v>
      </c>
      <c r="BD44" s="34">
        <v>0.8</v>
      </c>
    </row>
    <row r="45" s="22" customFormat="1" spans="1:56">
      <c r="A45" s="24"/>
      <c r="B45" s="33">
        <f>tblIndicators!D40</f>
        <v>3</v>
      </c>
      <c r="C45" s="24">
        <f>tblIndicators!M40</f>
        <v>2</v>
      </c>
      <c r="D45" s="24">
        <v>1</v>
      </c>
      <c r="E45" s="33" t="str">
        <f>tblIndicators!Z40</f>
        <v>3.2.4) Percent living in urban slums</v>
      </c>
      <c r="F45" s="28" t="str">
        <f>IF($C45&gt;1,tblIndicators!J40,"")</f>
        <v>%</v>
      </c>
      <c r="G45" s="29">
        <v>12.1</v>
      </c>
      <c r="H45" s="29">
        <v>23</v>
      </c>
      <c r="I45" s="29">
        <v>20.8</v>
      </c>
      <c r="J45" s="29">
        <v>26.9</v>
      </c>
      <c r="K45" s="29">
        <v>26.9</v>
      </c>
      <c r="L45" s="29">
        <v>20</v>
      </c>
      <c r="M45" s="29">
        <v>20</v>
      </c>
      <c r="N45" s="29">
        <v>13.2</v>
      </c>
      <c r="O45" s="29">
        <v>13.1</v>
      </c>
      <c r="P45" s="29">
        <v>20</v>
      </c>
      <c r="Q45" s="29">
        <v>14.4</v>
      </c>
      <c r="R45" s="29">
        <v>36.1</v>
      </c>
      <c r="S45" s="29">
        <v>9</v>
      </c>
      <c r="T45" s="29">
        <v>20</v>
      </c>
      <c r="U45" s="29">
        <v>20</v>
      </c>
      <c r="V45" s="29">
        <v>12.6</v>
      </c>
      <c r="W45" s="29">
        <v>12.6</v>
      </c>
      <c r="X45" s="29">
        <v>18</v>
      </c>
      <c r="Y45" s="29">
        <v>29.1</v>
      </c>
      <c r="Z45" s="29">
        <v>29.1</v>
      </c>
      <c r="AA45" s="29">
        <v>29.1</v>
      </c>
      <c r="AB45" s="29">
        <v>29.1</v>
      </c>
      <c r="AC45" s="29">
        <v>29.1</v>
      </c>
      <c r="AD45" s="29">
        <v>29.4</v>
      </c>
      <c r="AE45" s="29">
        <v>29.4</v>
      </c>
      <c r="AF45" s="29">
        <v>23</v>
      </c>
      <c r="AG45" s="29">
        <v>15</v>
      </c>
      <c r="AH45" s="29">
        <v>15.7</v>
      </c>
      <c r="AI45" s="29">
        <v>15.7</v>
      </c>
      <c r="AJ45" s="29">
        <v>26</v>
      </c>
      <c r="AK45" s="29">
        <v>15</v>
      </c>
      <c r="AL45" s="29">
        <v>2</v>
      </c>
      <c r="AM45" s="29">
        <v>27</v>
      </c>
      <c r="AN45" s="49">
        <v>35.2</v>
      </c>
      <c r="AO45" s="49">
        <v>5</v>
      </c>
      <c r="AP45" s="49">
        <v>19.5</v>
      </c>
      <c r="AQ45" s="49">
        <v>18</v>
      </c>
      <c r="AR45" s="49">
        <v>19.5</v>
      </c>
      <c r="AS45" s="29">
        <v>21.6</v>
      </c>
      <c r="AT45" s="29">
        <v>19.1</v>
      </c>
      <c r="AU45" s="29">
        <v>19.6</v>
      </c>
      <c r="AV45" s="29">
        <v>28.4</v>
      </c>
      <c r="AW45" s="29">
        <v>28.4</v>
      </c>
      <c r="AX45" s="29">
        <v>15</v>
      </c>
      <c r="AY45" s="29">
        <v>36</v>
      </c>
      <c r="AZ45" s="29">
        <v>27.3</v>
      </c>
      <c r="BA45" s="29">
        <v>27.3</v>
      </c>
      <c r="BB45" s="29">
        <v>4.2</v>
      </c>
      <c r="BC45" s="29">
        <v>13</v>
      </c>
      <c r="BD45" s="29">
        <v>24.1</v>
      </c>
    </row>
    <row r="46" spans="1:56">
      <c r="A46" s="24"/>
      <c r="B46" s="27">
        <f>tblIndicators!D41</f>
        <v>1</v>
      </c>
      <c r="C46" s="24">
        <f>tblIndicators!M41</f>
        <v>1</v>
      </c>
      <c r="D46" s="24">
        <v>1</v>
      </c>
      <c r="E46" s="27" t="str">
        <f>tblIndicators!Z41</f>
        <v>4) PERSONAL SAFETY</v>
      </c>
      <c r="F46" s="28" t="str">
        <f>IF($C46&gt;1,tblIndicators!J41,"")</f>
        <v/>
      </c>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row>
    <row r="47" s="21" customFormat="1" spans="1:56">
      <c r="A47" s="30"/>
      <c r="B47" s="31">
        <f>tblIndicators!D42</f>
        <v>2</v>
      </c>
      <c r="C47" s="30">
        <f>tblIndicators!M42</f>
        <v>1</v>
      </c>
      <c r="D47" s="30">
        <v>1</v>
      </c>
      <c r="E47" s="31" t="str">
        <f>tblIndicators!Z42</f>
        <v>4.1) Personal Safety (Inputs)</v>
      </c>
      <c r="F47" s="32" t="str">
        <f>IF($C47&gt;1,tblIndicators!J42,"")</f>
        <v/>
      </c>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row>
    <row r="48" s="22" customFormat="1" spans="1:56">
      <c r="A48" s="24"/>
      <c r="B48" s="33">
        <f>tblIndicators!D43</f>
        <v>3</v>
      </c>
      <c r="C48" s="24">
        <f>tblIndicators!M43</f>
        <v>3</v>
      </c>
      <c r="D48" s="24">
        <v>1</v>
      </c>
      <c r="E48" s="33" t="str">
        <f>tblIndicators!Z43</f>
        <v>4.1.1) Level of police engagement</v>
      </c>
      <c r="F48" s="28" t="str">
        <f>IF($C48&gt;1,tblIndicators!J43,"")</f>
        <v>Scale 0 - 1</v>
      </c>
      <c r="G48" s="34">
        <v>1</v>
      </c>
      <c r="H48" s="34">
        <v>1</v>
      </c>
      <c r="I48" s="34">
        <v>0.5</v>
      </c>
      <c r="J48" s="34">
        <v>0.5</v>
      </c>
      <c r="K48" s="34">
        <v>1</v>
      </c>
      <c r="L48" s="34">
        <v>1</v>
      </c>
      <c r="M48" s="34">
        <v>1</v>
      </c>
      <c r="N48" s="34">
        <v>1</v>
      </c>
      <c r="O48" s="34">
        <v>1</v>
      </c>
      <c r="P48" s="34">
        <v>1</v>
      </c>
      <c r="Q48" s="34">
        <v>1</v>
      </c>
      <c r="R48" s="34">
        <v>1</v>
      </c>
      <c r="S48" s="34">
        <v>0.5</v>
      </c>
      <c r="T48" s="34">
        <v>1</v>
      </c>
      <c r="U48" s="34">
        <v>1</v>
      </c>
      <c r="V48" s="34">
        <v>1</v>
      </c>
      <c r="W48" s="34">
        <v>1</v>
      </c>
      <c r="X48" s="34">
        <v>1</v>
      </c>
      <c r="Y48" s="34">
        <v>1</v>
      </c>
      <c r="Z48" s="34">
        <v>0.5</v>
      </c>
      <c r="AA48" s="34">
        <v>0.5</v>
      </c>
      <c r="AB48" s="34">
        <v>0.5</v>
      </c>
      <c r="AC48" s="34">
        <v>0.5</v>
      </c>
      <c r="AD48" s="34">
        <v>1</v>
      </c>
      <c r="AE48" s="34">
        <v>1</v>
      </c>
      <c r="AF48" s="34">
        <v>0.5</v>
      </c>
      <c r="AG48" s="34">
        <v>0.5</v>
      </c>
      <c r="AH48" s="34">
        <v>1</v>
      </c>
      <c r="AI48" s="34">
        <v>1</v>
      </c>
      <c r="AJ48" s="34">
        <v>1</v>
      </c>
      <c r="AK48" s="34">
        <v>0.5</v>
      </c>
      <c r="AL48" s="34">
        <v>1</v>
      </c>
      <c r="AM48" s="34">
        <v>0.5</v>
      </c>
      <c r="AN48" s="34">
        <v>0.5</v>
      </c>
      <c r="AO48" s="34">
        <v>1</v>
      </c>
      <c r="AP48" s="34">
        <v>0.5</v>
      </c>
      <c r="AQ48" s="34">
        <v>1</v>
      </c>
      <c r="AR48" s="34">
        <v>0.5</v>
      </c>
      <c r="AS48" s="34">
        <v>1</v>
      </c>
      <c r="AT48" s="34">
        <v>1</v>
      </c>
      <c r="AU48" s="34">
        <v>1</v>
      </c>
      <c r="AV48" s="34">
        <v>1</v>
      </c>
      <c r="AW48" s="34">
        <v>1</v>
      </c>
      <c r="AX48" s="34">
        <v>1</v>
      </c>
      <c r="AY48" s="34">
        <v>0.5</v>
      </c>
      <c r="AZ48" s="34">
        <v>0.5</v>
      </c>
      <c r="BA48" s="34">
        <v>1</v>
      </c>
      <c r="BB48" s="34">
        <v>1</v>
      </c>
      <c r="BC48" s="34">
        <v>1</v>
      </c>
      <c r="BD48" s="34">
        <v>1</v>
      </c>
    </row>
    <row r="49" s="22" customFormat="1" spans="1:56">
      <c r="A49" s="24"/>
      <c r="B49" s="33">
        <f>tblIndicators!D44</f>
        <v>3</v>
      </c>
      <c r="C49" s="24">
        <f>tblIndicators!M44</f>
        <v>2</v>
      </c>
      <c r="D49" s="24">
        <v>1</v>
      </c>
      <c r="E49" s="33" t="str">
        <f>tblIndicators!Z44</f>
        <v>4.1.2) Community-based patrolling</v>
      </c>
      <c r="F49" s="28" t="str">
        <f>IF($C49&gt;1,tblIndicators!J44,"")</f>
        <v>Score 0 - 1</v>
      </c>
      <c r="G49" s="34">
        <v>1</v>
      </c>
      <c r="H49" s="34">
        <v>1</v>
      </c>
      <c r="I49" s="34">
        <v>1</v>
      </c>
      <c r="J49" s="34">
        <v>1</v>
      </c>
      <c r="K49" s="34">
        <v>1</v>
      </c>
      <c r="L49" s="34">
        <v>1</v>
      </c>
      <c r="M49" s="34">
        <v>1</v>
      </c>
      <c r="N49" s="34">
        <v>1</v>
      </c>
      <c r="O49" s="34">
        <v>1</v>
      </c>
      <c r="P49" s="34">
        <v>1</v>
      </c>
      <c r="Q49" s="34">
        <v>1</v>
      </c>
      <c r="R49" s="34">
        <v>1</v>
      </c>
      <c r="S49" s="34">
        <v>1</v>
      </c>
      <c r="T49" s="34">
        <v>1</v>
      </c>
      <c r="U49" s="34">
        <v>1</v>
      </c>
      <c r="V49" s="34">
        <v>1</v>
      </c>
      <c r="W49" s="34">
        <v>1</v>
      </c>
      <c r="X49" s="34">
        <v>1</v>
      </c>
      <c r="Y49" s="34">
        <v>1</v>
      </c>
      <c r="Z49" s="34">
        <v>1</v>
      </c>
      <c r="AA49" s="34">
        <v>1</v>
      </c>
      <c r="AB49" s="34">
        <v>1</v>
      </c>
      <c r="AC49" s="34">
        <v>1</v>
      </c>
      <c r="AD49" s="34">
        <v>1</v>
      </c>
      <c r="AE49" s="34">
        <v>1</v>
      </c>
      <c r="AF49" s="34">
        <v>1</v>
      </c>
      <c r="AG49" s="34">
        <v>0</v>
      </c>
      <c r="AH49" s="34">
        <v>1</v>
      </c>
      <c r="AI49" s="34">
        <v>1</v>
      </c>
      <c r="AJ49" s="34">
        <v>1</v>
      </c>
      <c r="AK49" s="34">
        <v>1</v>
      </c>
      <c r="AL49" s="34">
        <v>1</v>
      </c>
      <c r="AM49" s="34">
        <v>1</v>
      </c>
      <c r="AN49" s="34">
        <v>1</v>
      </c>
      <c r="AO49" s="34">
        <v>0</v>
      </c>
      <c r="AP49" s="34">
        <v>1</v>
      </c>
      <c r="AQ49" s="34">
        <v>0</v>
      </c>
      <c r="AR49" s="34">
        <v>1</v>
      </c>
      <c r="AS49" s="34">
        <v>1</v>
      </c>
      <c r="AT49" s="34">
        <v>1</v>
      </c>
      <c r="AU49" s="34">
        <v>1</v>
      </c>
      <c r="AV49" s="34">
        <v>1</v>
      </c>
      <c r="AW49" s="34">
        <v>1</v>
      </c>
      <c r="AX49" s="34">
        <v>1</v>
      </c>
      <c r="AY49" s="34">
        <v>1</v>
      </c>
      <c r="AZ49" s="34">
        <v>1</v>
      </c>
      <c r="BA49" s="34">
        <v>1</v>
      </c>
      <c r="BB49" s="34">
        <v>1</v>
      </c>
      <c r="BC49" s="34">
        <v>1</v>
      </c>
      <c r="BD49" s="34">
        <v>1</v>
      </c>
    </row>
    <row r="50" s="22" customFormat="1" spans="1:56">
      <c r="A50" s="24"/>
      <c r="B50" s="33">
        <f>tblIndicators!D45</f>
        <v>3</v>
      </c>
      <c r="C50" s="24">
        <f>tblIndicators!M45</f>
        <v>2</v>
      </c>
      <c r="D50" s="24">
        <v>1</v>
      </c>
      <c r="E50" s="33" t="str">
        <f>tblIndicators!Z45</f>
        <v>4.1.3) Availability of street-level crime data</v>
      </c>
      <c r="F50" s="28" t="str">
        <f>IF($C50&gt;1,tblIndicators!J45,"")</f>
        <v>Score 0 - 1</v>
      </c>
      <c r="G50" s="34">
        <v>1</v>
      </c>
      <c r="H50" s="34">
        <v>1</v>
      </c>
      <c r="I50" s="34">
        <v>0</v>
      </c>
      <c r="J50" s="34">
        <v>0</v>
      </c>
      <c r="K50" s="34">
        <v>1</v>
      </c>
      <c r="L50" s="34">
        <v>1</v>
      </c>
      <c r="M50" s="34">
        <v>1</v>
      </c>
      <c r="N50" s="34">
        <v>1</v>
      </c>
      <c r="O50" s="34">
        <v>1</v>
      </c>
      <c r="P50" s="34">
        <v>1</v>
      </c>
      <c r="Q50" s="34">
        <v>0</v>
      </c>
      <c r="R50" s="34">
        <v>1</v>
      </c>
      <c r="S50" s="34">
        <v>0</v>
      </c>
      <c r="T50" s="34">
        <v>1</v>
      </c>
      <c r="U50" s="34">
        <v>1</v>
      </c>
      <c r="V50" s="34">
        <v>1</v>
      </c>
      <c r="W50" s="34">
        <v>1</v>
      </c>
      <c r="X50" s="34">
        <v>1</v>
      </c>
      <c r="Y50" s="34">
        <v>0</v>
      </c>
      <c r="Z50" s="34">
        <v>0</v>
      </c>
      <c r="AA50" s="34">
        <v>0</v>
      </c>
      <c r="AB50" s="34">
        <v>0</v>
      </c>
      <c r="AC50" s="34">
        <v>0</v>
      </c>
      <c r="AD50" s="34">
        <v>1</v>
      </c>
      <c r="AE50" s="34">
        <v>0</v>
      </c>
      <c r="AF50" s="34">
        <v>1</v>
      </c>
      <c r="AG50" s="34">
        <v>0</v>
      </c>
      <c r="AH50" s="34">
        <v>1</v>
      </c>
      <c r="AI50" s="34">
        <v>1</v>
      </c>
      <c r="AJ50" s="34">
        <v>1</v>
      </c>
      <c r="AK50" s="34">
        <v>0</v>
      </c>
      <c r="AL50" s="34">
        <v>1</v>
      </c>
      <c r="AM50" s="34">
        <v>1</v>
      </c>
      <c r="AN50" s="34">
        <v>0</v>
      </c>
      <c r="AO50" s="34">
        <v>0</v>
      </c>
      <c r="AP50" s="34">
        <v>1</v>
      </c>
      <c r="AQ50" s="34">
        <v>0</v>
      </c>
      <c r="AR50" s="34">
        <v>1</v>
      </c>
      <c r="AS50" s="34">
        <v>0</v>
      </c>
      <c r="AT50" s="34">
        <v>1</v>
      </c>
      <c r="AU50" s="34">
        <v>1</v>
      </c>
      <c r="AV50" s="34">
        <v>1</v>
      </c>
      <c r="AW50" s="34">
        <v>1</v>
      </c>
      <c r="AX50" s="34">
        <v>1</v>
      </c>
      <c r="AY50" s="34">
        <v>0</v>
      </c>
      <c r="AZ50" s="34">
        <v>1</v>
      </c>
      <c r="BA50" s="34">
        <v>1</v>
      </c>
      <c r="BB50" s="34">
        <v>1</v>
      </c>
      <c r="BC50" s="34">
        <v>1</v>
      </c>
      <c r="BD50" s="34">
        <v>1</v>
      </c>
    </row>
    <row r="51" s="22" customFormat="1" spans="1:56">
      <c r="A51" s="24"/>
      <c r="B51" s="33">
        <f>tblIndicators!D46</f>
        <v>3</v>
      </c>
      <c r="C51" s="24">
        <f>tblIndicators!M46</f>
        <v>2</v>
      </c>
      <c r="D51" s="24">
        <v>1</v>
      </c>
      <c r="E51" s="33" t="str">
        <f>tblIndicators!Z46</f>
        <v>4.1.4) Use of data-driven techniques for crime</v>
      </c>
      <c r="F51" s="28" t="str">
        <f>IF($C51&gt;1,tblIndicators!J46,"")</f>
        <v>Score 0 - 1</v>
      </c>
      <c r="G51" s="34">
        <v>1</v>
      </c>
      <c r="H51" s="34">
        <v>0</v>
      </c>
      <c r="I51" s="34">
        <v>1</v>
      </c>
      <c r="J51" s="34">
        <v>0</v>
      </c>
      <c r="K51" s="34">
        <v>0</v>
      </c>
      <c r="L51" s="34">
        <v>1</v>
      </c>
      <c r="M51" s="34">
        <v>1</v>
      </c>
      <c r="N51" s="34">
        <v>1</v>
      </c>
      <c r="O51" s="34">
        <v>0</v>
      </c>
      <c r="P51" s="34">
        <v>1</v>
      </c>
      <c r="Q51" s="34">
        <v>1</v>
      </c>
      <c r="R51" s="34">
        <v>1</v>
      </c>
      <c r="S51" s="34">
        <v>1</v>
      </c>
      <c r="T51" s="34">
        <v>1</v>
      </c>
      <c r="U51" s="34">
        <v>1</v>
      </c>
      <c r="V51" s="34">
        <v>1</v>
      </c>
      <c r="W51" s="34">
        <v>1</v>
      </c>
      <c r="X51" s="34">
        <v>1</v>
      </c>
      <c r="Y51" s="34">
        <v>0</v>
      </c>
      <c r="Z51" s="34">
        <v>1</v>
      </c>
      <c r="AA51" s="34">
        <v>0</v>
      </c>
      <c r="AB51" s="34">
        <v>0</v>
      </c>
      <c r="AC51" s="34">
        <v>0</v>
      </c>
      <c r="AD51" s="34">
        <v>1</v>
      </c>
      <c r="AE51" s="34">
        <v>1</v>
      </c>
      <c r="AF51" s="34">
        <v>0</v>
      </c>
      <c r="AG51" s="34">
        <v>1</v>
      </c>
      <c r="AH51" s="34">
        <v>1</v>
      </c>
      <c r="AI51" s="34">
        <v>1</v>
      </c>
      <c r="AJ51" s="34">
        <v>1</v>
      </c>
      <c r="AK51" s="34">
        <v>1</v>
      </c>
      <c r="AL51" s="34">
        <v>1</v>
      </c>
      <c r="AM51" s="34">
        <v>1</v>
      </c>
      <c r="AN51" s="34">
        <v>0</v>
      </c>
      <c r="AO51" s="34">
        <v>0</v>
      </c>
      <c r="AP51" s="34">
        <v>1</v>
      </c>
      <c r="AQ51" s="34">
        <v>1</v>
      </c>
      <c r="AR51" s="34">
        <v>0</v>
      </c>
      <c r="AS51" s="34">
        <v>0</v>
      </c>
      <c r="AT51" s="34">
        <v>1</v>
      </c>
      <c r="AU51" s="34">
        <v>1</v>
      </c>
      <c r="AV51" s="34">
        <v>0</v>
      </c>
      <c r="AW51" s="34">
        <v>1</v>
      </c>
      <c r="AX51" s="34">
        <v>1</v>
      </c>
      <c r="AY51" s="34">
        <v>0</v>
      </c>
      <c r="AZ51" s="34">
        <v>0</v>
      </c>
      <c r="BA51" s="34">
        <v>1</v>
      </c>
      <c r="BB51" s="34">
        <v>0</v>
      </c>
      <c r="BC51" s="34">
        <v>1</v>
      </c>
      <c r="BD51" s="34">
        <v>1</v>
      </c>
    </row>
    <row r="52" s="22" customFormat="1" spans="1:56">
      <c r="A52" s="24"/>
      <c r="B52" s="33">
        <f>tblIndicators!D47</f>
        <v>3</v>
      </c>
      <c r="C52" s="24">
        <f>tblIndicators!M47</f>
        <v>2</v>
      </c>
      <c r="D52" s="24">
        <v>1</v>
      </c>
      <c r="E52" s="33" t="str">
        <f>tblIndicators!Z47</f>
        <v>4.1.5) Private security measures</v>
      </c>
      <c r="F52" s="28" t="str">
        <f>IF($C52&gt;1,tblIndicators!J47,"")</f>
        <v>Score 0 - 1</v>
      </c>
      <c r="G52" s="37">
        <v>1</v>
      </c>
      <c r="H52" s="37">
        <v>1</v>
      </c>
      <c r="I52" s="37">
        <v>1</v>
      </c>
      <c r="J52" s="37">
        <v>1</v>
      </c>
      <c r="K52" s="37">
        <v>1</v>
      </c>
      <c r="L52" s="37">
        <v>1</v>
      </c>
      <c r="M52" s="37">
        <v>1</v>
      </c>
      <c r="N52" s="37">
        <v>1</v>
      </c>
      <c r="O52" s="37">
        <v>0</v>
      </c>
      <c r="P52" s="37">
        <v>1</v>
      </c>
      <c r="Q52" s="37">
        <v>1</v>
      </c>
      <c r="R52" s="37">
        <v>1</v>
      </c>
      <c r="S52" s="37">
        <v>0</v>
      </c>
      <c r="T52" s="37">
        <v>1</v>
      </c>
      <c r="U52" s="37">
        <v>1</v>
      </c>
      <c r="V52" s="37">
        <v>1</v>
      </c>
      <c r="W52" s="37">
        <v>1</v>
      </c>
      <c r="X52" s="37">
        <v>1</v>
      </c>
      <c r="Y52" s="37">
        <v>0</v>
      </c>
      <c r="Z52" s="37">
        <v>1</v>
      </c>
      <c r="AA52" s="37">
        <v>1</v>
      </c>
      <c r="AB52" s="37">
        <v>1</v>
      </c>
      <c r="AC52" s="37">
        <v>1</v>
      </c>
      <c r="AD52" s="37">
        <v>0</v>
      </c>
      <c r="AE52" s="37">
        <v>1</v>
      </c>
      <c r="AF52" s="37">
        <v>0</v>
      </c>
      <c r="AG52" s="37">
        <v>1</v>
      </c>
      <c r="AH52" s="37">
        <v>1</v>
      </c>
      <c r="AI52" s="37">
        <v>1</v>
      </c>
      <c r="AJ52" s="37">
        <v>1</v>
      </c>
      <c r="AK52" s="37">
        <v>1</v>
      </c>
      <c r="AL52" s="37">
        <v>1</v>
      </c>
      <c r="AM52" s="37">
        <v>1</v>
      </c>
      <c r="AN52" s="37">
        <v>1</v>
      </c>
      <c r="AO52" s="37">
        <v>0</v>
      </c>
      <c r="AP52" s="37">
        <v>1</v>
      </c>
      <c r="AQ52" s="37">
        <v>0</v>
      </c>
      <c r="AR52" s="37">
        <v>0</v>
      </c>
      <c r="AS52" s="37">
        <v>0</v>
      </c>
      <c r="AT52" s="37">
        <v>0</v>
      </c>
      <c r="AU52" s="37">
        <v>0</v>
      </c>
      <c r="AV52" s="37">
        <v>0</v>
      </c>
      <c r="AW52" s="37">
        <v>0</v>
      </c>
      <c r="AX52" s="37">
        <v>1</v>
      </c>
      <c r="AY52" s="37">
        <v>0</v>
      </c>
      <c r="AZ52" s="37">
        <v>1</v>
      </c>
      <c r="BA52" s="37">
        <v>1</v>
      </c>
      <c r="BB52" s="37">
        <v>1</v>
      </c>
      <c r="BC52" s="37">
        <v>1</v>
      </c>
      <c r="BD52" s="37">
        <v>1</v>
      </c>
    </row>
    <row r="53" s="22" customFormat="1" spans="1:56">
      <c r="A53" s="24"/>
      <c r="B53" s="33">
        <f>tblIndicators!D48</f>
        <v>3</v>
      </c>
      <c r="C53" s="24">
        <f>tblIndicators!M48</f>
        <v>2</v>
      </c>
      <c r="D53" s="24">
        <v>1</v>
      </c>
      <c r="E53" s="33" t="str">
        <f>tblIndicators!Z48</f>
        <v>4.1.6) Gun regulation and enforcement</v>
      </c>
      <c r="F53" s="28" t="str">
        <f>IF($C53&gt;1,tblIndicators!J48,"")</f>
        <v>Scale 0 - 10</v>
      </c>
      <c r="G53" s="38">
        <v>3.2</v>
      </c>
      <c r="H53" s="38">
        <v>6</v>
      </c>
      <c r="I53" s="44">
        <v>2.5</v>
      </c>
      <c r="J53" s="45">
        <v>3.5</v>
      </c>
      <c r="K53" s="38">
        <v>3.5</v>
      </c>
      <c r="L53" s="38">
        <v>3.9</v>
      </c>
      <c r="M53" s="38">
        <v>3.9</v>
      </c>
      <c r="N53" s="45">
        <v>3</v>
      </c>
      <c r="O53" s="45">
        <v>3</v>
      </c>
      <c r="P53" s="38">
        <v>4.2</v>
      </c>
      <c r="Q53" s="38">
        <v>3.9</v>
      </c>
      <c r="R53" s="38">
        <v>6</v>
      </c>
      <c r="S53" s="47">
        <v>4.7</v>
      </c>
      <c r="T53" s="38">
        <v>4.6</v>
      </c>
      <c r="U53" s="38">
        <v>2</v>
      </c>
      <c r="V53" s="44">
        <v>2</v>
      </c>
      <c r="W53" s="45">
        <v>2</v>
      </c>
      <c r="X53" s="38">
        <v>1.5</v>
      </c>
      <c r="Y53" s="38">
        <v>0.5</v>
      </c>
      <c r="Z53" s="38">
        <v>0.5</v>
      </c>
      <c r="AA53" s="38">
        <v>0.5</v>
      </c>
      <c r="AB53" s="38">
        <v>0.5</v>
      </c>
      <c r="AC53" s="38">
        <v>0.5</v>
      </c>
      <c r="AD53" s="38">
        <v>3.7</v>
      </c>
      <c r="AE53" s="45">
        <v>3.7</v>
      </c>
      <c r="AF53" s="38">
        <v>2.1</v>
      </c>
      <c r="AG53" s="38">
        <v>3.6</v>
      </c>
      <c r="AH53" s="38">
        <v>1.5</v>
      </c>
      <c r="AI53" s="38">
        <v>1.5</v>
      </c>
      <c r="AJ53" s="38">
        <v>1.5</v>
      </c>
      <c r="AK53" s="38">
        <v>2</v>
      </c>
      <c r="AL53" s="38">
        <v>1</v>
      </c>
      <c r="AM53" s="38">
        <v>4.2</v>
      </c>
      <c r="AN53" s="38">
        <v>0.5</v>
      </c>
      <c r="AO53" s="38">
        <v>0.8</v>
      </c>
      <c r="AP53" s="38">
        <v>3</v>
      </c>
      <c r="AQ53" s="38">
        <v>6.5</v>
      </c>
      <c r="AR53" s="38">
        <v>3.8</v>
      </c>
      <c r="AS53" s="38">
        <v>3.1</v>
      </c>
      <c r="AT53" s="38">
        <v>4</v>
      </c>
      <c r="AU53" s="38">
        <v>3.2</v>
      </c>
      <c r="AV53" s="45">
        <v>3.6</v>
      </c>
      <c r="AW53" s="38">
        <v>3.6</v>
      </c>
      <c r="AX53" s="38">
        <v>2.5</v>
      </c>
      <c r="AY53" s="38">
        <v>3.1</v>
      </c>
      <c r="AZ53" s="38">
        <v>2.6</v>
      </c>
      <c r="BA53" s="38">
        <v>2.6</v>
      </c>
      <c r="BB53" s="38">
        <v>6</v>
      </c>
      <c r="BC53" s="38">
        <v>5.7</v>
      </c>
      <c r="BD53" s="38">
        <v>1.5</v>
      </c>
    </row>
    <row r="54" s="21" customFormat="1" spans="1:56">
      <c r="A54" s="24"/>
      <c r="B54" s="33">
        <f>tblIndicators!D49</f>
        <v>3</v>
      </c>
      <c r="C54" s="24">
        <f>tblIndicators!M49</f>
        <v>3</v>
      </c>
      <c r="D54" s="24">
        <v>1</v>
      </c>
      <c r="E54" s="33" t="str">
        <f>tblIndicators!Z49</f>
        <v>4.1.7) Political Stability Risk</v>
      </c>
      <c r="F54" s="28" t="str">
        <f>IF($C54&gt;1,tblIndicators!J49,"")</f>
        <v>Scale 0 - 100</v>
      </c>
      <c r="G54" s="37">
        <v>65</v>
      </c>
      <c r="H54" s="37">
        <v>35</v>
      </c>
      <c r="I54" s="37">
        <v>55</v>
      </c>
      <c r="J54" s="37">
        <v>35</v>
      </c>
      <c r="K54" s="37">
        <v>35</v>
      </c>
      <c r="L54" s="37">
        <v>10</v>
      </c>
      <c r="M54" s="37">
        <v>10</v>
      </c>
      <c r="N54" s="37">
        <v>5</v>
      </c>
      <c r="O54" s="37">
        <v>5</v>
      </c>
      <c r="P54" s="37">
        <v>10</v>
      </c>
      <c r="Q54" s="37">
        <v>40</v>
      </c>
      <c r="R54" s="37">
        <v>45</v>
      </c>
      <c r="S54" s="37">
        <v>20</v>
      </c>
      <c r="T54" s="37">
        <v>10</v>
      </c>
      <c r="U54" s="37">
        <v>10</v>
      </c>
      <c r="V54" s="37">
        <v>10</v>
      </c>
      <c r="W54" s="37">
        <v>10</v>
      </c>
      <c r="X54" s="37">
        <v>35</v>
      </c>
      <c r="Y54" s="37">
        <v>55</v>
      </c>
      <c r="Z54" s="37">
        <v>55</v>
      </c>
      <c r="AA54" s="37">
        <v>55</v>
      </c>
      <c r="AB54" s="37">
        <v>55</v>
      </c>
      <c r="AC54" s="37">
        <v>55</v>
      </c>
      <c r="AD54" s="37">
        <v>20</v>
      </c>
      <c r="AE54" s="37">
        <v>20</v>
      </c>
      <c r="AF54" s="37">
        <v>30</v>
      </c>
      <c r="AG54" s="37">
        <v>75</v>
      </c>
      <c r="AH54" s="37">
        <v>10</v>
      </c>
      <c r="AI54" s="37">
        <v>10</v>
      </c>
      <c r="AJ54" s="37">
        <v>20</v>
      </c>
      <c r="AK54" s="37">
        <v>40</v>
      </c>
      <c r="AL54" s="37">
        <v>30</v>
      </c>
      <c r="AM54" s="37">
        <v>65</v>
      </c>
      <c r="AN54" s="37">
        <v>50</v>
      </c>
      <c r="AO54" s="37">
        <v>60</v>
      </c>
      <c r="AP54" s="37">
        <v>40</v>
      </c>
      <c r="AQ54" s="37">
        <v>55</v>
      </c>
      <c r="AR54" s="37">
        <v>45</v>
      </c>
      <c r="AS54" s="37">
        <v>25</v>
      </c>
      <c r="AT54" s="37">
        <v>30</v>
      </c>
      <c r="AU54" s="37">
        <v>15</v>
      </c>
      <c r="AV54" s="37">
        <v>35</v>
      </c>
      <c r="AW54" s="37">
        <v>35</v>
      </c>
      <c r="AX54" s="37">
        <v>20</v>
      </c>
      <c r="AY54" s="37">
        <v>65</v>
      </c>
      <c r="AZ54" s="37">
        <v>25</v>
      </c>
      <c r="BA54" s="37">
        <v>25</v>
      </c>
      <c r="BB54" s="37">
        <v>10</v>
      </c>
      <c r="BC54" s="37">
        <v>55</v>
      </c>
      <c r="BD54" s="37">
        <v>30</v>
      </c>
    </row>
    <row r="55" s="21" customFormat="1" spans="1:56">
      <c r="A55" s="30"/>
      <c r="B55" s="31">
        <f>tblIndicators!D50</f>
        <v>2</v>
      </c>
      <c r="C55" s="30">
        <f>tblIndicators!M50</f>
        <v>1</v>
      </c>
      <c r="D55" s="30">
        <v>1</v>
      </c>
      <c r="E55" s="31" t="str">
        <f>tblIndicators!Z50</f>
        <v>4.2) Personal Safety (Outputs)</v>
      </c>
      <c r="F55" s="32" t="str">
        <f>IF($C55&gt;1,tblIndicators!J50,"")</f>
        <v/>
      </c>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50"/>
      <c r="AZ55" s="50"/>
      <c r="BA55" s="50"/>
      <c r="BB55" s="50"/>
      <c r="BC55" s="50"/>
      <c r="BD55" s="50"/>
    </row>
    <row r="56" s="22" customFormat="1" spans="1:56">
      <c r="A56" s="24"/>
      <c r="B56" s="33">
        <f>tblIndicators!D51</f>
        <v>3</v>
      </c>
      <c r="C56" s="24">
        <f>tblIndicators!M51</f>
        <v>2</v>
      </c>
      <c r="D56" s="24">
        <v>1</v>
      </c>
      <c r="E56" s="33" t="str">
        <f>tblIndicators!Z51</f>
        <v>4.2.1) Prevalence of petty crime</v>
      </c>
      <c r="F56" s="28" t="str">
        <f>IF($C56&gt;1,tblIndicators!J51,"")</f>
        <v>EIU Rating</v>
      </c>
      <c r="G56" s="34">
        <v>1</v>
      </c>
      <c r="H56" s="34">
        <v>5</v>
      </c>
      <c r="I56" s="34">
        <v>3</v>
      </c>
      <c r="J56" s="34">
        <v>4</v>
      </c>
      <c r="K56" s="34">
        <v>4</v>
      </c>
      <c r="L56" s="34">
        <v>2</v>
      </c>
      <c r="M56" s="34">
        <v>2</v>
      </c>
      <c r="N56" s="34">
        <v>1</v>
      </c>
      <c r="O56" s="34">
        <v>2</v>
      </c>
      <c r="P56" s="34">
        <v>2</v>
      </c>
      <c r="Q56" s="34">
        <v>5</v>
      </c>
      <c r="R56" s="34">
        <v>3</v>
      </c>
      <c r="S56" s="34">
        <v>3</v>
      </c>
      <c r="T56" s="34">
        <v>3</v>
      </c>
      <c r="U56" s="34">
        <v>2</v>
      </c>
      <c r="V56" s="34">
        <v>2</v>
      </c>
      <c r="W56" s="34">
        <v>2</v>
      </c>
      <c r="X56" s="34">
        <v>2</v>
      </c>
      <c r="Y56" s="34">
        <v>3</v>
      </c>
      <c r="Z56" s="34">
        <v>3</v>
      </c>
      <c r="AA56" s="34">
        <v>2</v>
      </c>
      <c r="AB56" s="34">
        <v>3</v>
      </c>
      <c r="AC56" s="34">
        <v>2</v>
      </c>
      <c r="AD56" s="34">
        <v>4</v>
      </c>
      <c r="AE56" s="34">
        <v>3</v>
      </c>
      <c r="AF56" s="34">
        <v>4</v>
      </c>
      <c r="AG56" s="34">
        <v>3</v>
      </c>
      <c r="AH56" s="34">
        <v>2</v>
      </c>
      <c r="AI56" s="34">
        <v>2</v>
      </c>
      <c r="AJ56" s="34">
        <v>1</v>
      </c>
      <c r="AK56" s="34">
        <v>2</v>
      </c>
      <c r="AL56" s="34">
        <v>2</v>
      </c>
      <c r="AM56" s="34">
        <v>3</v>
      </c>
      <c r="AN56" s="34">
        <v>4</v>
      </c>
      <c r="AO56" s="34">
        <v>2</v>
      </c>
      <c r="AP56" s="34">
        <v>2</v>
      </c>
      <c r="AQ56" s="34">
        <v>2</v>
      </c>
      <c r="AR56" s="34">
        <v>2</v>
      </c>
      <c r="AS56" s="34">
        <v>2</v>
      </c>
      <c r="AT56" s="34">
        <v>2</v>
      </c>
      <c r="AU56" s="34">
        <v>2</v>
      </c>
      <c r="AV56" s="34">
        <v>3</v>
      </c>
      <c r="AW56" s="34">
        <v>2</v>
      </c>
      <c r="AX56" s="34">
        <v>3</v>
      </c>
      <c r="AY56" s="34">
        <v>3</v>
      </c>
      <c r="AZ56" s="34">
        <v>2</v>
      </c>
      <c r="BA56" s="34">
        <v>2</v>
      </c>
      <c r="BB56" s="34">
        <v>2</v>
      </c>
      <c r="BC56" s="34">
        <v>3</v>
      </c>
      <c r="BD56" s="34">
        <v>3</v>
      </c>
    </row>
    <row r="57" s="22" customFormat="1" spans="1:56">
      <c r="A57" s="24"/>
      <c r="B57" s="33">
        <f>tblIndicators!D52</f>
        <v>3</v>
      </c>
      <c r="C57" s="24">
        <f>tblIndicators!M52</f>
        <v>2</v>
      </c>
      <c r="D57" s="24">
        <v>1</v>
      </c>
      <c r="E57" s="33" t="str">
        <f>tblIndicators!Z52</f>
        <v>4.2.2) Prevalence of violence crime</v>
      </c>
      <c r="F57" s="28" t="str">
        <f>IF($C57&gt;1,tblIndicators!J52,"")</f>
        <v>EIU Rating</v>
      </c>
      <c r="G57" s="34">
        <v>1</v>
      </c>
      <c r="H57" s="34">
        <v>5</v>
      </c>
      <c r="I57" s="34">
        <v>3</v>
      </c>
      <c r="J57" s="34">
        <v>4</v>
      </c>
      <c r="K57" s="34">
        <v>4</v>
      </c>
      <c r="L57" s="34">
        <v>2</v>
      </c>
      <c r="M57" s="34">
        <v>2</v>
      </c>
      <c r="N57" s="34">
        <v>1</v>
      </c>
      <c r="O57" s="34">
        <v>1</v>
      </c>
      <c r="P57" s="34">
        <v>2</v>
      </c>
      <c r="Q57" s="34">
        <v>5</v>
      </c>
      <c r="R57" s="34">
        <v>3</v>
      </c>
      <c r="S57" s="34">
        <v>3</v>
      </c>
      <c r="T57" s="34">
        <v>2</v>
      </c>
      <c r="U57" s="34">
        <v>2</v>
      </c>
      <c r="V57" s="34">
        <v>2</v>
      </c>
      <c r="W57" s="34">
        <v>1</v>
      </c>
      <c r="X57" s="34">
        <v>1</v>
      </c>
      <c r="Y57" s="34">
        <v>2</v>
      </c>
      <c r="Z57" s="34">
        <v>2</v>
      </c>
      <c r="AA57" s="34">
        <v>2</v>
      </c>
      <c r="AB57" s="34">
        <v>2</v>
      </c>
      <c r="AC57" s="34">
        <v>1</v>
      </c>
      <c r="AD57" s="34">
        <v>2</v>
      </c>
      <c r="AE57" s="34">
        <v>3</v>
      </c>
      <c r="AF57" s="34">
        <v>2</v>
      </c>
      <c r="AG57" s="34">
        <v>2</v>
      </c>
      <c r="AH57" s="34">
        <v>1</v>
      </c>
      <c r="AI57" s="34">
        <v>1</v>
      </c>
      <c r="AJ57" s="34">
        <v>1</v>
      </c>
      <c r="AK57" s="34">
        <v>1</v>
      </c>
      <c r="AL57" s="34">
        <v>2</v>
      </c>
      <c r="AM57" s="34">
        <v>2</v>
      </c>
      <c r="AN57" s="34">
        <v>3</v>
      </c>
      <c r="AO57" s="34">
        <v>1</v>
      </c>
      <c r="AP57" s="34">
        <v>1</v>
      </c>
      <c r="AQ57" s="34">
        <v>1</v>
      </c>
      <c r="AR57" s="34">
        <v>1</v>
      </c>
      <c r="AS57" s="34">
        <v>2</v>
      </c>
      <c r="AT57" s="34">
        <v>2</v>
      </c>
      <c r="AU57" s="34">
        <v>2</v>
      </c>
      <c r="AV57" s="34">
        <v>2</v>
      </c>
      <c r="AW57" s="34">
        <v>2</v>
      </c>
      <c r="AX57" s="34">
        <v>2</v>
      </c>
      <c r="AY57" s="34">
        <v>2</v>
      </c>
      <c r="AZ57" s="34">
        <v>2</v>
      </c>
      <c r="BA57" s="34">
        <v>2</v>
      </c>
      <c r="BB57" s="34">
        <v>1</v>
      </c>
      <c r="BC57" s="34">
        <v>3</v>
      </c>
      <c r="BD57" s="34">
        <v>2</v>
      </c>
    </row>
    <row r="58" s="22" customFormat="1" spans="1:56">
      <c r="A58" s="24"/>
      <c r="B58" s="33">
        <f>tblIndicators!D53</f>
        <v>3</v>
      </c>
      <c r="C58" s="24">
        <f>tblIndicators!M53</f>
        <v>2</v>
      </c>
      <c r="D58" s="24">
        <v>1</v>
      </c>
      <c r="E58" s="33" t="str">
        <f>tblIndicators!Z53</f>
        <v>4.2.3) Criminal gang activity</v>
      </c>
      <c r="F58" s="28" t="str">
        <f>IF($C58&gt;1,tblIndicators!J53,"")</f>
        <v>US $ billions</v>
      </c>
      <c r="G58" s="37">
        <v>0.5963</v>
      </c>
      <c r="H58" s="37">
        <v>3.93</v>
      </c>
      <c r="I58" s="37">
        <v>1.1</v>
      </c>
      <c r="J58" s="37">
        <v>17</v>
      </c>
      <c r="K58" s="37">
        <v>17</v>
      </c>
      <c r="L58" s="37">
        <v>625.63</v>
      </c>
      <c r="M58" s="37">
        <v>625.63</v>
      </c>
      <c r="N58" s="37">
        <v>77.83</v>
      </c>
      <c r="O58" s="37">
        <v>77.83</v>
      </c>
      <c r="P58" s="37">
        <v>625.63</v>
      </c>
      <c r="Q58" s="37">
        <v>126.08</v>
      </c>
      <c r="R58" s="37">
        <v>6.7</v>
      </c>
      <c r="S58" s="37">
        <v>0.4</v>
      </c>
      <c r="T58" s="37">
        <v>625.63</v>
      </c>
      <c r="U58" s="37">
        <v>625.63</v>
      </c>
      <c r="V58" s="37">
        <v>14.62</v>
      </c>
      <c r="W58" s="37">
        <v>14.62</v>
      </c>
      <c r="X58" s="37">
        <v>261</v>
      </c>
      <c r="Y58" s="37">
        <v>261</v>
      </c>
      <c r="Z58" s="37">
        <v>261</v>
      </c>
      <c r="AA58" s="37">
        <v>261</v>
      </c>
      <c r="AB58" s="37">
        <v>261</v>
      </c>
      <c r="AC58" s="37">
        <v>261</v>
      </c>
      <c r="AD58" s="37">
        <v>68.59</v>
      </c>
      <c r="AE58" s="37">
        <v>68.59</v>
      </c>
      <c r="AF58" s="37">
        <v>23.05</v>
      </c>
      <c r="AG58" s="37">
        <v>10.64</v>
      </c>
      <c r="AH58" s="37">
        <v>108.3</v>
      </c>
      <c r="AI58" s="37">
        <v>108.3</v>
      </c>
      <c r="AJ58" s="37">
        <v>0.27</v>
      </c>
      <c r="AK58" s="37">
        <v>26.2</v>
      </c>
      <c r="AL58" s="37">
        <v>2.61</v>
      </c>
      <c r="AM58" s="37">
        <v>13.95</v>
      </c>
      <c r="AN58" s="37">
        <v>0.82</v>
      </c>
      <c r="AO58" s="37">
        <v>1.41</v>
      </c>
      <c r="AP58" s="37"/>
      <c r="AQ58" s="37">
        <v>10.1</v>
      </c>
      <c r="AR58" s="37">
        <v>1.1</v>
      </c>
      <c r="AS58" s="37">
        <v>0.25</v>
      </c>
      <c r="AT58" s="37">
        <v>9.85</v>
      </c>
      <c r="AU58" s="37">
        <v>39.67</v>
      </c>
      <c r="AV58" s="37">
        <v>111.05</v>
      </c>
      <c r="AW58" s="37">
        <v>111.05</v>
      </c>
      <c r="AX58" s="37">
        <v>0.7</v>
      </c>
      <c r="AY58" s="37">
        <v>49.04</v>
      </c>
      <c r="AZ58" s="37">
        <v>124.06</v>
      </c>
      <c r="BA58" s="37">
        <v>124.06</v>
      </c>
      <c r="BB58" s="37">
        <v>4.5</v>
      </c>
      <c r="BC58" s="37">
        <v>17.16</v>
      </c>
      <c r="BD58" s="37">
        <v>61.96</v>
      </c>
    </row>
    <row r="59" s="22" customFormat="1" spans="1:56">
      <c r="A59" s="24"/>
      <c r="B59" s="33">
        <f>tblIndicators!D54</f>
        <v>3</v>
      </c>
      <c r="C59" s="24">
        <f>tblIndicators!M54</f>
        <v>3</v>
      </c>
      <c r="D59" s="24">
        <v>1</v>
      </c>
      <c r="E59" s="33" t="str">
        <f>tblIndicators!Z54</f>
        <v>4.2.4) Level of corruption in police force</v>
      </c>
      <c r="F59" s="28" t="str">
        <f>IF($C59&gt;1,tblIndicators!J54,"")</f>
        <v>Scale 0 - 100</v>
      </c>
      <c r="G59" s="40">
        <v>10</v>
      </c>
      <c r="H59" s="40">
        <v>45</v>
      </c>
      <c r="I59" s="40">
        <v>29</v>
      </c>
      <c r="J59" s="40">
        <v>37</v>
      </c>
      <c r="K59" s="40">
        <v>37</v>
      </c>
      <c r="L59" s="40">
        <v>71</v>
      </c>
      <c r="M59" s="40">
        <v>71</v>
      </c>
      <c r="N59" s="40">
        <v>89</v>
      </c>
      <c r="O59" s="40">
        <v>89</v>
      </c>
      <c r="P59" s="40">
        <v>71</v>
      </c>
      <c r="Q59" s="40">
        <v>31</v>
      </c>
      <c r="R59" s="40">
        <v>35</v>
      </c>
      <c r="S59" s="40">
        <v>72</v>
      </c>
      <c r="T59" s="40">
        <v>71</v>
      </c>
      <c r="U59" s="40">
        <v>71</v>
      </c>
      <c r="V59" s="48">
        <v>87</v>
      </c>
      <c r="W59" s="40">
        <v>87</v>
      </c>
      <c r="X59" s="40">
        <v>84</v>
      </c>
      <c r="Y59" s="48">
        <v>35</v>
      </c>
      <c r="Z59" s="48">
        <v>35</v>
      </c>
      <c r="AA59" s="48">
        <v>35</v>
      </c>
      <c r="AB59" s="48">
        <v>35</v>
      </c>
      <c r="AC59" s="48">
        <v>35</v>
      </c>
      <c r="AD59" s="40">
        <v>33</v>
      </c>
      <c r="AE59" s="40">
        <v>33</v>
      </c>
      <c r="AF59" s="48">
        <v>28</v>
      </c>
      <c r="AG59" s="40">
        <v>22</v>
      </c>
      <c r="AH59" s="48">
        <v>78</v>
      </c>
      <c r="AI59" s="48">
        <v>78</v>
      </c>
      <c r="AJ59" s="40">
        <v>93</v>
      </c>
      <c r="AK59" s="40">
        <v>54</v>
      </c>
      <c r="AL59" s="40">
        <v>58</v>
      </c>
      <c r="AM59" s="40">
        <v>35</v>
      </c>
      <c r="AN59" s="40">
        <v>27</v>
      </c>
      <c r="AO59" s="40">
        <v>45</v>
      </c>
      <c r="AP59" s="40">
        <v>77</v>
      </c>
      <c r="AQ59" s="40">
        <v>47</v>
      </c>
      <c r="AR59" s="48">
        <v>63</v>
      </c>
      <c r="AS59" s="48">
        <v>71</v>
      </c>
      <c r="AT59" s="48">
        <v>68</v>
      </c>
      <c r="AU59" s="48">
        <v>79</v>
      </c>
      <c r="AV59" s="40">
        <v>39</v>
      </c>
      <c r="AW59" s="48">
        <v>39</v>
      </c>
      <c r="AX59" s="40">
        <v>88</v>
      </c>
      <c r="AY59" s="51">
        <v>21</v>
      </c>
      <c r="AZ59" s="51">
        <v>61</v>
      </c>
      <c r="BA59" s="51">
        <v>61</v>
      </c>
      <c r="BB59" s="51">
        <v>87</v>
      </c>
      <c r="BC59" s="48">
        <v>44</v>
      </c>
      <c r="BD59" s="51">
        <v>76</v>
      </c>
    </row>
    <row r="60" s="22" customFormat="1" spans="1:56">
      <c r="A60" s="24"/>
      <c r="B60" s="33">
        <f>tblIndicators!D55</f>
        <v>3</v>
      </c>
      <c r="C60" s="24">
        <f>tblIndicators!M55</f>
        <v>2</v>
      </c>
      <c r="D60" s="24">
        <v>1</v>
      </c>
      <c r="E60" s="33" t="str">
        <f>tblIndicators!Z55</f>
        <v>4.2.5) Rate of drug use</v>
      </c>
      <c r="F60" s="28" t="str">
        <f>IF($C60&gt;1,tblIndicators!J55,"")</f>
        <v>%</v>
      </c>
      <c r="G60" s="34">
        <v>0.5</v>
      </c>
      <c r="H60" s="34">
        <v>0.8</v>
      </c>
      <c r="I60" s="34">
        <v>2.6</v>
      </c>
      <c r="J60" s="34">
        <v>0.7</v>
      </c>
      <c r="K60" s="34">
        <v>0.7</v>
      </c>
      <c r="L60" s="34">
        <v>2.4</v>
      </c>
      <c r="M60" s="34">
        <v>2.4</v>
      </c>
      <c r="N60" s="34">
        <v>1.4</v>
      </c>
      <c r="O60" s="34">
        <v>1.4</v>
      </c>
      <c r="P60" s="34">
        <v>2.4</v>
      </c>
      <c r="Q60" s="34">
        <v>0.4</v>
      </c>
      <c r="R60" s="34">
        <v>0.5</v>
      </c>
      <c r="S60" s="34">
        <v>2.4</v>
      </c>
      <c r="T60" s="34">
        <v>2.4</v>
      </c>
      <c r="U60" s="34">
        <v>2.4</v>
      </c>
      <c r="V60" s="34">
        <v>1.9</v>
      </c>
      <c r="W60" s="34">
        <v>1.9</v>
      </c>
      <c r="X60" s="34">
        <v>0.3</v>
      </c>
      <c r="Y60" s="34">
        <v>0.25</v>
      </c>
      <c r="Z60" s="34">
        <v>0.25</v>
      </c>
      <c r="AA60" s="34">
        <v>0.25</v>
      </c>
      <c r="AB60" s="34">
        <v>0.25</v>
      </c>
      <c r="AC60" s="34">
        <v>0.25</v>
      </c>
      <c r="AD60" s="34">
        <v>0.4</v>
      </c>
      <c r="AE60" s="34">
        <v>0.4</v>
      </c>
      <c r="AF60" s="34" t="s">
        <v>1714</v>
      </c>
      <c r="AG60" s="34" t="s">
        <v>1714</v>
      </c>
      <c r="AH60" s="34">
        <v>0.03</v>
      </c>
      <c r="AI60" s="34">
        <v>0.03</v>
      </c>
      <c r="AJ60" s="34">
        <v>0.01</v>
      </c>
      <c r="AK60" s="34">
        <v>0.1</v>
      </c>
      <c r="AL60" s="34">
        <v>0.1</v>
      </c>
      <c r="AM60" s="34">
        <v>0.1</v>
      </c>
      <c r="AN60" s="34">
        <v>0.1</v>
      </c>
      <c r="AO60" s="34">
        <v>0.1</v>
      </c>
      <c r="AP60" s="34">
        <v>0.06</v>
      </c>
      <c r="AQ60" s="34">
        <v>0.06</v>
      </c>
      <c r="AR60" s="34">
        <v>0.02</v>
      </c>
      <c r="AS60" s="34">
        <v>0.9</v>
      </c>
      <c r="AT60" s="34">
        <v>0.6</v>
      </c>
      <c r="AU60" s="34">
        <v>0.9</v>
      </c>
      <c r="AV60" s="34">
        <v>2.2</v>
      </c>
      <c r="AW60" s="34">
        <v>2.2</v>
      </c>
      <c r="AX60" s="34">
        <v>0.6</v>
      </c>
      <c r="AY60" s="34">
        <v>0.2</v>
      </c>
      <c r="AZ60" s="34">
        <v>2.6</v>
      </c>
      <c r="BA60" s="34">
        <v>2.6</v>
      </c>
      <c r="BB60" s="34">
        <v>0.2</v>
      </c>
      <c r="BC60" s="34">
        <v>0.1</v>
      </c>
      <c r="BD60" s="34">
        <v>1.9</v>
      </c>
    </row>
    <row r="61" s="22" customFormat="1" spans="1:56">
      <c r="A61" s="24"/>
      <c r="B61" s="33">
        <f>tblIndicators!D56</f>
        <v>3</v>
      </c>
      <c r="C61" s="24">
        <f>tblIndicators!M56</f>
        <v>2</v>
      </c>
      <c r="D61" s="24">
        <v>1</v>
      </c>
      <c r="E61" s="33" t="str">
        <f>tblIndicators!Z56</f>
        <v>4.2.6) Frequency of terrorist attacks</v>
      </c>
      <c r="F61" s="28" t="str">
        <f>IF($C61&gt;1,tblIndicators!J56,"")</f>
        <v>#/year</v>
      </c>
      <c r="G61" s="41">
        <v>0.4</v>
      </c>
      <c r="H61" s="41">
        <v>0.1</v>
      </c>
      <c r="I61" s="41">
        <v>1.1</v>
      </c>
      <c r="J61" s="41">
        <v>0.2</v>
      </c>
      <c r="K61" s="41">
        <v>0</v>
      </c>
      <c r="L61" s="41">
        <v>0.8</v>
      </c>
      <c r="M61" s="41">
        <v>0.1</v>
      </c>
      <c r="N61" s="41">
        <v>0.1</v>
      </c>
      <c r="O61" s="41">
        <v>0.2</v>
      </c>
      <c r="P61" s="41">
        <v>0</v>
      </c>
      <c r="Q61" s="41">
        <v>0.6</v>
      </c>
      <c r="R61" s="41">
        <v>0.1</v>
      </c>
      <c r="S61" s="41">
        <v>3.2</v>
      </c>
      <c r="T61" s="41">
        <v>0.8</v>
      </c>
      <c r="U61" s="41">
        <v>0.3</v>
      </c>
      <c r="V61" s="41">
        <v>0</v>
      </c>
      <c r="W61" s="41">
        <v>0</v>
      </c>
      <c r="X61" s="41">
        <v>0.1</v>
      </c>
      <c r="Y61" s="41">
        <v>0.3</v>
      </c>
      <c r="Z61" s="41">
        <v>0</v>
      </c>
      <c r="AA61" s="41">
        <v>0.1</v>
      </c>
      <c r="AB61" s="41">
        <v>0</v>
      </c>
      <c r="AC61" s="41">
        <v>0</v>
      </c>
      <c r="AD61" s="41">
        <v>1.3</v>
      </c>
      <c r="AE61" s="41">
        <v>1.4</v>
      </c>
      <c r="AF61" s="41">
        <v>1.9</v>
      </c>
      <c r="AG61" s="41">
        <v>1.1</v>
      </c>
      <c r="AH61" s="41">
        <v>0</v>
      </c>
      <c r="AI61" s="41">
        <v>0</v>
      </c>
      <c r="AJ61" s="41">
        <v>0</v>
      </c>
      <c r="AK61" s="41">
        <v>0.1</v>
      </c>
      <c r="AL61" s="41">
        <v>0.2</v>
      </c>
      <c r="AM61" s="41">
        <v>8.6</v>
      </c>
      <c r="AN61" s="41">
        <v>0</v>
      </c>
      <c r="AO61" s="41">
        <v>0</v>
      </c>
      <c r="AP61" s="41">
        <v>0.1</v>
      </c>
      <c r="AQ61" s="41">
        <v>1.2</v>
      </c>
      <c r="AR61" s="41">
        <v>0</v>
      </c>
      <c r="AS61" s="41">
        <v>0.2</v>
      </c>
      <c r="AT61" s="41">
        <v>1</v>
      </c>
      <c r="AU61" s="41">
        <v>0.2</v>
      </c>
      <c r="AV61" s="41">
        <v>0.9</v>
      </c>
      <c r="AW61" s="41">
        <v>0.7</v>
      </c>
      <c r="AX61" s="41">
        <v>0.1</v>
      </c>
      <c r="AY61" s="41">
        <v>2.2</v>
      </c>
      <c r="AZ61" s="41">
        <v>1.9</v>
      </c>
      <c r="BA61" s="41">
        <v>0.1</v>
      </c>
      <c r="BB61" s="41">
        <v>0.1</v>
      </c>
      <c r="BC61" s="41">
        <v>5.5</v>
      </c>
      <c r="BD61" s="41">
        <v>2.4</v>
      </c>
    </row>
    <row r="62" s="22" customFormat="1" ht="17.25" customHeight="1" spans="1:56">
      <c r="A62" s="24"/>
      <c r="B62" s="33">
        <f>tblIndicators!D57</f>
        <v>3</v>
      </c>
      <c r="C62" s="24">
        <f>tblIndicators!M57</f>
        <v>2</v>
      </c>
      <c r="D62" s="24">
        <v>1</v>
      </c>
      <c r="E62" s="33" t="str">
        <f>tblIndicators!Z57</f>
        <v>4.2.7) Gender safety</v>
      </c>
      <c r="F62" s="28" t="str">
        <f>IF($C62&gt;1,tblIndicators!J57,"")</f>
        <v>Index</v>
      </c>
      <c r="G62" s="42">
        <v>5887</v>
      </c>
      <c r="H62" s="42">
        <v>174</v>
      </c>
      <c r="I62" s="42">
        <v>9000</v>
      </c>
      <c r="J62" s="46">
        <v>599.12</v>
      </c>
      <c r="K62" s="46">
        <v>5885</v>
      </c>
      <c r="L62" s="42">
        <v>936</v>
      </c>
      <c r="M62" s="42">
        <v>110</v>
      </c>
      <c r="N62" s="46">
        <v>576</v>
      </c>
      <c r="O62" s="46">
        <v>576</v>
      </c>
      <c r="P62" s="46">
        <v>1459</v>
      </c>
      <c r="Q62" s="42">
        <v>14993</v>
      </c>
      <c r="R62" s="42">
        <v>6751</v>
      </c>
      <c r="S62" s="42">
        <v>1670</v>
      </c>
      <c r="T62" s="42">
        <v>1378</v>
      </c>
      <c r="U62" s="42">
        <v>393</v>
      </c>
      <c r="V62" s="42">
        <v>6378</v>
      </c>
      <c r="W62" s="46">
        <v>2144</v>
      </c>
      <c r="X62" s="42">
        <v>105</v>
      </c>
      <c r="Y62" s="42">
        <v>31883</v>
      </c>
      <c r="Z62" s="42">
        <v>31883</v>
      </c>
      <c r="AA62" s="42">
        <v>31883</v>
      </c>
      <c r="AB62" s="42">
        <v>31883</v>
      </c>
      <c r="AC62" s="42">
        <v>31883</v>
      </c>
      <c r="AD62" s="42">
        <v>338</v>
      </c>
      <c r="AE62" s="46">
        <v>1559</v>
      </c>
      <c r="AF62" s="46">
        <v>85</v>
      </c>
      <c r="AG62" s="42">
        <v>60.83</v>
      </c>
      <c r="AH62" s="42">
        <v>160</v>
      </c>
      <c r="AI62" s="42">
        <v>119</v>
      </c>
      <c r="AJ62" s="42">
        <v>120</v>
      </c>
      <c r="AK62" s="42">
        <v>22034</v>
      </c>
      <c r="AL62" s="42">
        <v>16058</v>
      </c>
      <c r="AM62" s="42">
        <v>3431</v>
      </c>
      <c r="AN62" s="42">
        <v>1273.21</v>
      </c>
      <c r="AO62" s="42">
        <v>119</v>
      </c>
      <c r="AP62" s="42">
        <v>13</v>
      </c>
      <c r="AQ62" s="42">
        <v>59</v>
      </c>
      <c r="AR62" s="42">
        <v>6169</v>
      </c>
      <c r="AS62" s="42">
        <v>847.33</v>
      </c>
      <c r="AT62" s="42">
        <v>10885</v>
      </c>
      <c r="AU62" s="42">
        <v>8031</v>
      </c>
      <c r="AV62" s="42">
        <v>102</v>
      </c>
      <c r="AW62" s="42">
        <v>116</v>
      </c>
      <c r="AX62" s="42">
        <v>732</v>
      </c>
      <c r="AY62" s="42">
        <v>382</v>
      </c>
      <c r="AZ62" s="42">
        <v>5452</v>
      </c>
      <c r="BA62" s="42">
        <v>1280</v>
      </c>
      <c r="BB62" s="42">
        <v>569</v>
      </c>
      <c r="BC62" s="42">
        <v>1486</v>
      </c>
      <c r="BD62" s="42">
        <v>10</v>
      </c>
    </row>
    <row r="63" s="22" customFormat="1" spans="1:56">
      <c r="A63" s="24"/>
      <c r="B63" s="33">
        <f>tblIndicators!D58</f>
        <v>3</v>
      </c>
      <c r="C63" s="24">
        <f>tblIndicators!M58</f>
        <v>3</v>
      </c>
      <c r="D63" s="24">
        <v>1</v>
      </c>
      <c r="E63" s="33" t="str">
        <f>tblIndicators!Z58</f>
        <v>4.2.8) Perceptions of safety</v>
      </c>
      <c r="F63" s="28" t="str">
        <f>IF($C63&gt;1,tblIndicators!J58,"")</f>
        <v>Scale 0 - 100</v>
      </c>
      <c r="G63" s="34">
        <v>77.9</v>
      </c>
      <c r="H63" s="34">
        <v>17.44</v>
      </c>
      <c r="I63" s="34">
        <v>38.49</v>
      </c>
      <c r="J63" s="34">
        <v>24.86</v>
      </c>
      <c r="K63" s="34">
        <v>25.32</v>
      </c>
      <c r="L63" s="34">
        <v>48.22</v>
      </c>
      <c r="M63" s="34">
        <v>58.25</v>
      </c>
      <c r="N63" s="34">
        <v>68.46</v>
      </c>
      <c r="O63" s="34">
        <v>61.79</v>
      </c>
      <c r="P63" s="34">
        <v>39.99</v>
      </c>
      <c r="Q63" s="34">
        <v>37.99</v>
      </c>
      <c r="R63" s="34">
        <v>30.42</v>
      </c>
      <c r="S63" s="34">
        <v>52.54</v>
      </c>
      <c r="T63" s="34">
        <v>52.53</v>
      </c>
      <c r="U63" s="34">
        <v>41.1</v>
      </c>
      <c r="V63" s="34">
        <v>58.72</v>
      </c>
      <c r="W63" s="34">
        <v>57.47</v>
      </c>
      <c r="X63" s="34">
        <v>83.88</v>
      </c>
      <c r="Y63" s="34">
        <v>58.3</v>
      </c>
      <c r="Z63" s="34">
        <v>77.75</v>
      </c>
      <c r="AA63" s="34">
        <v>77.12</v>
      </c>
      <c r="AB63" s="34">
        <v>59.38</v>
      </c>
      <c r="AC63" s="34">
        <v>58.85</v>
      </c>
      <c r="AD63" s="34">
        <v>51.04</v>
      </c>
      <c r="AE63" s="34">
        <v>41.41</v>
      </c>
      <c r="AF63" s="34">
        <v>52.19</v>
      </c>
      <c r="AG63" s="34">
        <v>43.73</v>
      </c>
      <c r="AH63" s="34">
        <v>80.92</v>
      </c>
      <c r="AI63" s="34">
        <v>95.03</v>
      </c>
      <c r="AJ63" s="34">
        <v>81.98</v>
      </c>
      <c r="AK63" s="34">
        <v>80.5</v>
      </c>
      <c r="AL63" s="34">
        <v>79.1</v>
      </c>
      <c r="AM63" s="34">
        <v>63.85</v>
      </c>
      <c r="AN63" s="34">
        <v>52.23</v>
      </c>
      <c r="AO63" s="34">
        <v>57.02</v>
      </c>
      <c r="AP63" s="34">
        <v>78.09</v>
      </c>
      <c r="AQ63" s="34">
        <v>73.83</v>
      </c>
      <c r="AR63" s="34">
        <v>86.02</v>
      </c>
      <c r="AS63" s="34">
        <v>46.19</v>
      </c>
      <c r="AT63" s="34">
        <v>43.88</v>
      </c>
      <c r="AU63" s="34">
        <v>73.06</v>
      </c>
      <c r="AV63" s="34">
        <v>29.69</v>
      </c>
      <c r="AW63" s="34">
        <v>46.95</v>
      </c>
      <c r="AX63" s="34">
        <v>68.41</v>
      </c>
      <c r="AY63" s="34">
        <v>46.01</v>
      </c>
      <c r="AZ63" s="34">
        <v>62.89</v>
      </c>
      <c r="BA63" s="34">
        <v>58.33</v>
      </c>
      <c r="BB63" s="34">
        <v>79.39</v>
      </c>
      <c r="BC63" s="34">
        <v>59.86</v>
      </c>
      <c r="BD63" s="34">
        <v>52.62</v>
      </c>
    </row>
  </sheetData>
  <sheetProtection selectLockedCells="1" selectUnlockedCells="1"/>
  <hyperlinks>
    <hyperlink ref="AK28" location="'Evalueserve Rationale'!A1"/>
    <hyperlink ref="BC28:BD28" location="'Evalueserve Rationale'!A1"/>
    <hyperlink ref="AS28" location="'Evalueserve Rationale'!AQ28"/>
    <hyperlink ref="AT28" location="'Evalueserve Rationale'!AQ28"/>
    <hyperlink ref="AZ28" location="'Evalueserve Rationale'!AQ28"/>
    <hyperlink ref="T62" location="'Evalueserve Rationale'!R61" display="1378"/>
    <hyperlink ref="W62" location="'Evalueserve Rationale'!U61" display="2144"/>
    <hyperlink ref="X62" location="'Evalueserve Rationale'!V61" display="105"/>
    <hyperlink ref="AE62" location="'Evalueserve Rationale'!AC61" display="1559"/>
    <hyperlink ref="J62" location="'Evalueserve Rationale'!H61" display="599.12"/>
    <hyperlink ref="O62" location="'Evalueserve Rationale'!M61" display="576"/>
    <hyperlink ref="N62" location="'Evalueserve Rationale'!L61" display="576"/>
    <hyperlink ref="AZ62" location="'Evalueserve Rationale'!AX61" display="5452"/>
    <hyperlink ref="AL62" location="'Evalueserve Rationale'!AJ61" display="16058"/>
    <hyperlink ref="AM62" location="'Evalueserve Rationale'!AK61" display="3431"/>
    <hyperlink ref="U62" location="'Evalueserve Rationale'!S61" display="393"/>
    <hyperlink ref="L62" location="'Evalueserve Rationale'!J61" display="936"/>
    <hyperlink ref="BD62" location="'Evalueserve Rationale'!BB61" display="10"/>
    <hyperlink ref="I62" location="'Evalueserve Rationale'!G61" display="9000"/>
    <hyperlink ref="S62" location="'Evalueserve Rationale'!Q61" display="1670"/>
    <hyperlink ref="AG62" location="'Evalueserve Rationale'!AE61" display="60.83"/>
    <hyperlink ref="BA62" location="'Evalueserve Rationale'!AY61" display="1280"/>
    <hyperlink ref="AP62" location="'Evalueserve Rationale'!AN61" display="13"/>
    <hyperlink ref="AQ62" location="'Evalueserve Rationale'!AO61" display="59"/>
    <hyperlink ref="AY62" location="'Evalueserve Rationale'!AW61" display="382"/>
    <hyperlink ref="R62" location="'Evalueserve Rationale'!P61" display="6751"/>
    <hyperlink ref="Q62" location="'Evalueserve Rationale'!O61" display="14993"/>
    <hyperlink ref="BB62" location="'Evalueserve Rationale'!AZ61" display="569"/>
    <hyperlink ref="M62" location="'Evalueserve Rationale'!K61" display="110"/>
    <hyperlink ref="H62" location="'Evalueserve Rationale'!F61" display="174"/>
    <hyperlink ref="P62" location="'Evalueserve Rationale'!N61" display="1459"/>
    <hyperlink ref="K62" location="'Evalueserve Rationale'!I61" display="5885"/>
    <hyperlink ref="AK62" location="'Evalueserve Rationale'!AI61" display="22034"/>
    <hyperlink ref="Y62" location="'Evalueserve Rationale'!W61" display="31883"/>
    <hyperlink ref="AD62" location="'Evalueserve Rationale'!AB61" display="338"/>
    <hyperlink ref="AX62" location="'Evalueserve Rationale'!AV61" display="732"/>
    <hyperlink ref="AO62" location="'Evalueserve Rationale'!AM61" display="119"/>
    <hyperlink ref="V62" location="'Evalueserve Rationale'!T61" display="6378"/>
    <hyperlink ref="Z62" location="'Evalueserve Rationale'!X61" display="31883"/>
    <hyperlink ref="AA62" location="'Evalueserve Rationale'!Y61" display="31883"/>
    <hyperlink ref="AB62" location="'Evalueserve Rationale'!Z61" display="31883"/>
    <hyperlink ref="AC62" location="'Evalueserve Rationale'!AA61" display="31883"/>
    <hyperlink ref="AF62" location="'Evalueserve Rationale'!AD61" display="85"/>
    <hyperlink ref="AH62" location="'Evalueserve Rationale'!AF61" display="160"/>
    <hyperlink ref="AI62" location="'Evalueserve Rationale'!AG61" display="119"/>
    <hyperlink ref="AJ62" location="'Evalueserve Rationale'!AH61" display="120"/>
    <hyperlink ref="AN62" location="'Evalueserve Rationale'!AL61" display="1273.21"/>
    <hyperlink ref="AR62" location="'Evalueserve Rationale'!AP61" display="6169"/>
    <hyperlink ref="AS62" location="'Evalueserve Rationale'!AQ61" display="847.33"/>
    <hyperlink ref="AT62" location="'Evalueserve Rationale'!AR61" display="10885"/>
    <hyperlink ref="AU62" location="'Evalueserve Rationale'!AS61" display="8031"/>
    <hyperlink ref="AV62" location="'Evalueserve Rationale'!AT61" display="102"/>
    <hyperlink ref="AW62" location="'Evalueserve Rationale'!AU61" display="116"/>
    <hyperlink ref="BC62" location="'Evalueserve Rationale'!BA61" display="1486"/>
    <hyperlink ref="AV53" location="'Evalueserve Rationale'!AT52" display="3.6"/>
    <hyperlink ref="T53" location="'Evalueserve Rationale'!R52" display="4.6"/>
    <hyperlink ref="W53" location="'Evalueserve Rationale'!U52" display="2"/>
    <hyperlink ref="X53" location="'Evalueserve Rationale'!V52" display="1.5"/>
    <hyperlink ref="AE53" location="'Evalueserve Rationale'!AC52" display="3.7"/>
    <hyperlink ref="J53" location="'Evalueserve Rationale'!H52" display="3.5"/>
    <hyperlink ref="O53" location="'Evalueserve Rationale'!M52" display="3"/>
    <hyperlink ref="N53" location="'Evalueserve Rationale'!L52" display="3"/>
    <hyperlink ref="AZ53" location="'Evalueserve Rationale'!AX52" display="2.6"/>
    <hyperlink ref="AL53" location="'Evalueserve Rationale'!AJ52" display="1"/>
    <hyperlink ref="AM53" location="'Evalueserve Rationale'!AK52" display="4.2"/>
    <hyperlink ref="U53" location="'Evalueserve Rationale'!S52" display="2"/>
    <hyperlink ref="L53" location="'Evalueserve Rationale'!J52" display="3.9"/>
    <hyperlink ref="I53" location="'Evalueserve Rationale'!G52" display="2.5"/>
    <hyperlink ref="S53" location="'Evalueserve Rationale'!Q52" display="4.7"/>
    <hyperlink ref="AG53" location="'Evalueserve Rationale'!AE52" display="3.6"/>
    <hyperlink ref="BA53" location="'Evalueserve Rationale'!AY52" display="2.6"/>
    <hyperlink ref="AP53" location="'Evalueserve Rationale'!AN52" display="3"/>
    <hyperlink ref="AQ53" location="'Evalueserve Rationale'!AO52" display="6.5"/>
    <hyperlink ref="AY53" location="'Evalueserve Rationale'!AW52" display="3.1"/>
    <hyperlink ref="R53" location="'Evalueserve Rationale'!P52" display="6"/>
    <hyperlink ref="Q53" location="'Evalueserve Rationale'!O52" display="3.9"/>
    <hyperlink ref="M53" location="'Evalueserve Rationale'!K52" display="3.9"/>
    <hyperlink ref="H53" location="'Evalueserve Rationale'!F52" display="6"/>
    <hyperlink ref="P53" location="'Evalueserve Rationale'!N52" display="4.2"/>
    <hyperlink ref="K53" location="'Evalueserve Rationale'!I52" display="3.5"/>
    <hyperlink ref="AK53" location="'Evalueserve Rationale'!AI52" display="2"/>
    <hyperlink ref="Y53" location="'Evalueserve Rationale'!W52" display="0.5"/>
    <hyperlink ref="Z53" location="'Evalueserve Rationale'!X52" display="0.5"/>
    <hyperlink ref="AB53" location="'Evalueserve Rationale'!Z52" display="0.5"/>
    <hyperlink ref="AX53" location="'Evalueserve Rationale'!AV52" display="2.5"/>
    <hyperlink ref="AS53" location="'Evalueserve Rationale'!AQ52" display="3.1"/>
    <hyperlink ref="BB53" location="'Evalueserve Rationale'!AZ52" display="6"/>
    <hyperlink ref="AD53" location="'Evalueserve Rationale'!AB52" display="3.7"/>
    <hyperlink ref="AO53" location="'Evalueserve Rationale'!AM52" display="0.8"/>
    <hyperlink ref="V53" location="'Evalueserve Rationale'!T52" display="2"/>
    <hyperlink ref="AA53" location="'Evalueserve Rationale'!Y52" display="0.5"/>
    <hyperlink ref="AC53" location="'Evalueserve Rationale'!AA52" display="0.5"/>
    <hyperlink ref="AF53" location="'Evalueserve Rationale'!AD52" display="2.1"/>
    <hyperlink ref="AH53" location="'Evalueserve Rationale'!AF52" display="1.5"/>
    <hyperlink ref="AI53" location="'Evalueserve Rationale'!AF52" display="1.5"/>
    <hyperlink ref="AJ53" location="'Evalueserve Rationale'!AH51" display="1.5"/>
    <hyperlink ref="AN53" location="'Evalueserve Rationale'!AL52" display="0.5"/>
    <hyperlink ref="AR53" location="'Evalueserve Rationale'!AP52" display="3.8"/>
    <hyperlink ref="AT53" location="'Evalueserve Rationale'!AR52" display="4"/>
    <hyperlink ref="AU53" location="'Evalueserve Rationale'!AR52" display="3.2"/>
    <hyperlink ref="AW53" location="'Evalueserve Rationale'!AU52" display="3.6"/>
    <hyperlink ref="BC53" location="'Evalueserve Rationale'!BA52" display="5.7"/>
    <hyperlink ref="BD53" location="'Data Summary Sheet'!BB52" display="1.5"/>
    <hyperlink ref="AJ43" location="'Evalueserve Rationale'!AH42" display="118"/>
    <hyperlink ref="AJ44" location="'Evalueserve Rationale'!AH43" display="0.8"/>
    <hyperlink ref="P43" location="'Evalueserve Rationale'!N42" display="597"/>
    <hyperlink ref="P44" location="'Evalueserve Rationale'!N43" display="1.8"/>
    <hyperlink ref="AH43" location="'Evalueserve Rationale'!AF42" display="357"/>
    <hyperlink ref="AH44" location="'Evalueserve Rationale'!AF43" display="1.7"/>
    <hyperlink ref="L43" location="'Evalueserve Rationale'!J42" display="427"/>
    <hyperlink ref="L44" location="'Evalueserve Rationale'!J43" display="2.6"/>
    <hyperlink ref="T43" location="'Evalueserve Rationale'!R42" display="825"/>
    <hyperlink ref="T44" location="'Evalueserve Rationale'!R43" display="1.6"/>
    <hyperlink ref="AI43" location="'Evalueserve Rationale'!AG42" display="544"/>
    <hyperlink ref="AI44" location="'Evalueserve Rationale'!AG43" display="1.3"/>
    <hyperlink ref="AB43" location="'Evalueserve Rationale'!Z42" display="18"/>
    <hyperlink ref="AB44" location="'Evalueserve Rationale'!Z43" display="1"/>
    <hyperlink ref="AE43" location="'Evalueserve Rationale'!AC42" display="36"/>
    <hyperlink ref="AD43" location="'Evalueserve Rationale'!AB42" display="19"/>
    <hyperlink ref="AE44" location="'Evalueserve Rationale'!AC43" display="2.6"/>
    <hyperlink ref="AD44" location="'Evalueserve Rationale'!AB42" display="1.4"/>
    <hyperlink ref="AD44:AE44" location="'Evalueserve Rationale'!AB43" display="1.4"/>
    <hyperlink ref="I44" location="'Evalueserve Rationale'!G43" display="37.4"/>
    <hyperlink ref="H43" location="'Evalueserve Rationale'!F42" display="1951"/>
    <hyperlink ref="H44" location="'Evalueserve Rationale'!F43" display="9.4"/>
    <hyperlink ref="S43" location="'Evalueserve Rationale'!Q42" display="365"/>
    <hyperlink ref="S44" location="'Evalueserve Rationale'!Q43" display="11.7"/>
    <hyperlink ref="X43" location="'Evalueserve Rationale'!V42" display="225"/>
    <hyperlink ref="X44" location="'Evalueserve Rationale'!V43" display="51"/>
    <hyperlink ref="AA43" location="'Evalueserve Rationale'!Y42" display="24.28"/>
    <hyperlink ref="AA44" location="'Evalueserve Rationale'!Y43" display="1.2"/>
    <hyperlink ref="AK43" location="'Evalueserve Rationale'!AI42" display="400.28"/>
    <hyperlink ref="AK44" location="'Evalueserve Rationale'!AI43" display="1.6"/>
    <hyperlink ref="AN43" location="'Evalueserve Rationale'!AL42" display="32.5"/>
    <hyperlink ref="AN44" location="'Evalueserve Rationale'!AL43" display="0.82"/>
    <hyperlink ref="AO43" location="'Evalueserve Rationale'!AM42" display="1033.15"/>
    <hyperlink ref="AO44" location="'Evalueserve Rationale'!AM43" display="9.1"/>
    <hyperlink ref="AR43" location="'Evalueserve Rationale'!AP42" display="83"/>
    <hyperlink ref="AR44" location="'Evalueserve Rationale'!AP43" display="1.9"/>
    <hyperlink ref="BA43" location="'Evalueserve Rationale'!AY42" display="573"/>
    <hyperlink ref="BA44" location="'Evalueserve Rationale'!AY43" display="0.7"/>
    <hyperlink ref="BD43" location="'Evalueserve Rationale'!BB42" display="217"/>
    <hyperlink ref="BD44" location="'Evalueserve Rationale'!BB43" display="0.8"/>
    <hyperlink ref="AS43" location="'Evalueserve Rationale'!AQ42" display="341"/>
    <hyperlink ref="AS44" location="'Evalueserve Rationale'!AQ43" display="1"/>
    <hyperlink ref="AT43" location="'Evalueserve Rationale'!AR42" display="1061"/>
    <hyperlink ref="AT44" location="'Evalueserve Rationale'!AR43" display="0.8"/>
    <hyperlink ref="AY43" location="'Evalueserve Rationale'!AW42" display="104"/>
    <hyperlink ref="AY44" location="'Evalueserve Rationale'!AW43" display="9.8"/>
    <hyperlink ref="O43" location="'Evalueserve Rationale'!M42" display="387"/>
    <hyperlink ref="O44" location="'Evalueserve Rationale'!M43" display="0.2"/>
    <hyperlink ref="Q43" location="'Evalueserve Rationale'!O42" display="3269"/>
    <hyperlink ref="Q44" location="'Evalueserve Rationale'!O43" display="53.8"/>
    <hyperlink ref="R43" location="'Evalueserve Rationale'!P42" display="610"/>
    <hyperlink ref="R44" location="'Evalueserve Rationale'!P43" display="4.9"/>
    <hyperlink ref="V43" location="'Evalueserve Rationale'!T42" display="565"/>
    <hyperlink ref="V44" location="'Evalueserve Rationale'!T43" display="0.7"/>
    <hyperlink ref="AL43" location="'Evalueserve Rationale'!AJ42" display="762.38"/>
    <hyperlink ref="AL44" location="'Evalueserve Rationale'!AJ43" display="0.9"/>
    <hyperlink ref="AM43" location="'Evalueserve Rationale'!AK42" display="315"/>
    <hyperlink ref="AM44" location="'Evalueserve Rationale'!AK43" display="1.45"/>
    <hyperlink ref="AW43" location="'Evalueserve Rationale'!AU42" display="1282"/>
    <hyperlink ref="AW44" location="'Evalueserve Rationale'!AU43" display="2.6"/>
    <hyperlink ref="AU43" location="'Evalueserve Rationale'!AS42" display="2177"/>
    <hyperlink ref="AU44" location="'Evalueserve Rationale'!AS43" display="0.6"/>
    <hyperlink ref="AV43" location="'Evalueserve Rationale'!AT42" display="706"/>
    <hyperlink ref="AV44" location="'Evalueserve Rationale'!AT43" display="2.4"/>
    <hyperlink ref="AG44" location="'Evalueserve Rationale'!AE43" display="10.4"/>
    <hyperlink ref="AQ43" location="'Evalueserve Rationale'!AO42" display="2291"/>
    <hyperlink ref="AP43" location="'Evalueserve Rationale'!AN42" display="222"/>
    <hyperlink ref="AP44" location="'Evalueserve Rationale'!AN43" display="4.2"/>
    <hyperlink ref="AQ44" location="'Evalueserve Rationale'!AO43" display="2.8"/>
    <hyperlink ref="J43" location="'Evalueserve Rationale'!H42" display="236"/>
    <hyperlink ref="J44" location="'Evalueserve Rationale'!H43" display="5.6"/>
    <hyperlink ref="I43" location="'Evalueserve Rationale'!G42" display="235.68"/>
    <hyperlink ref="K43" location="'Evalueserve Rationale'!I42" display="344"/>
    <hyperlink ref="K44" location="'Evalueserve Rationale'!I43" display="5.5"/>
    <hyperlink ref="AC43" location="'Evalueserve Rationale'!AA42" display="24"/>
    <hyperlink ref="AC44" location="'Evalueserve Rationale'!AA43" display="1"/>
    <hyperlink ref="Z43" location="'Evalueserve Rationale'!X42" display="9.52"/>
    <hyperlink ref="Z44" location="'Evalueserve Rationale'!X43" display="1"/>
    <hyperlink ref="AF43" location="'Evalueserve Rationale'!AD42" display="62"/>
    <hyperlink ref="AF44" location="'Evalueserve Rationale'!AD43" display="2.7"/>
    <hyperlink ref="AX43" location="'Evalueserve Rationale'!AV42" display="54"/>
    <hyperlink ref="AX44" location="'Evalueserve Rationale'!AV43" display="0.4"/>
    <hyperlink ref="AZ43" location="'Evalueserve Rationale'!AX42" display="177"/>
    <hyperlink ref="AZ44" location="'Evalueserve Rationale'!AX43" display="0.3"/>
    <hyperlink ref="BB43" location="'Evalueserve Rationale'!AZ42" display="888"/>
    <hyperlink ref="BB44" location="'Evalueserve Rationale'!AZ43" display="0.9"/>
    <hyperlink ref="BC43" location="'Evalueserve Rationale'!BA42" display="1574"/>
    <hyperlink ref="BC44" location="'Evalueserve Rationale'!BA43" display="1.1"/>
    <hyperlink ref="Y44" location="'Evalueserve Rationale'!W43" display="1.2"/>
    <hyperlink ref="AG43" location="'Evalueserve Rationale'!AE42" display="156"/>
    <hyperlink ref="G44" location="'Evalueserve Rationale'!E43" display="0.5"/>
    <hyperlink ref="G43" location="'Evalueserve Rationale'!E42" display="155"/>
    <hyperlink ref="G53" location="'Evalueserve Rationale'!E52" display="3.2"/>
    <hyperlink ref="G62" location="'Evalueserve Rationale'!E61" display="5887"/>
  </hyperlinks>
  <pageMargins left="0.708661417322835" right="0.708661417322835" top="0.748031496062992" bottom="0.748031496062992" header="0.31496062992126" footer="0.31496062992126"/>
  <pageSetup paperSize="1" scale="16" orientation="landscape"/>
  <headerFooter>
    <oddHeader>&amp;R&amp;"Calibri,Regular"&amp;10&amp;K808080EIU / NEC SAFE CITY INDEX 2014</oddHeader>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G77"/>
  <sheetViews>
    <sheetView showGridLines="0" showRowColHeaders="0" workbookViewId="0">
      <selection activeCell="A1" sqref="A1"/>
    </sheetView>
  </sheetViews>
  <sheetFormatPr defaultColWidth="9" defaultRowHeight="15" outlineLevelCol="6"/>
  <cols>
    <col min="1" max="1" width="3.85714285714286" customWidth="1"/>
    <col min="2" max="2" width="14.2857142857143" hidden="1" customWidth="1"/>
    <col min="3" max="3" width="3" hidden="1" customWidth="1"/>
    <col min="4" max="4" width="2" hidden="1" customWidth="1"/>
    <col min="5" max="5" width="51.4285714285714" customWidth="1"/>
  </cols>
  <sheetData>
    <row r="1" ht="27" customHeight="1" spans="1:5">
      <c r="A1" s="2" t="str">
        <f>Summary!A1</f>
        <v>                             Safe City Index</v>
      </c>
      <c r="E1" t="s">
        <v>1699</v>
      </c>
    </row>
    <row r="2" ht="21" customHeight="1"/>
    <row r="3" ht="37.5" customHeight="1"/>
    <row r="4" ht="16.5" customHeight="1"/>
    <row r="6" spans="5:7">
      <c r="E6" s="3" t="s">
        <v>1715</v>
      </c>
      <c r="F6" s="4"/>
      <c r="G6" s="4" t="s">
        <v>1716</v>
      </c>
    </row>
    <row r="7" spans="2:7">
      <c r="B7" s="5" t="str">
        <f>tblIndiSets!A4</f>
        <v>DIGSEC</v>
      </c>
      <c r="C7" s="5">
        <f>tblIndiSets!B4</f>
        <v>2</v>
      </c>
      <c r="D7" s="5">
        <f>tblIndiSets!D4</f>
        <v>1</v>
      </c>
      <c r="E7" s="6" t="str">
        <f>tblIndiSets!C4</f>
        <v>1) DIGITAL SECURITY</v>
      </c>
      <c r="F7" s="7">
        <v>1</v>
      </c>
      <c r="G7" s="8">
        <f>INDEX(tblIndicators!$AC$2:$AC$58,$C7)</f>
        <v>0.25</v>
      </c>
    </row>
    <row r="8" spans="2:7">
      <c r="B8" s="5" t="str">
        <f>tblIndiSets!A5</f>
        <v>HELSEC</v>
      </c>
      <c r="C8" s="5">
        <f>tblIndiSets!B5</f>
        <v>14</v>
      </c>
      <c r="D8" s="5">
        <f>tblIndiSets!D5</f>
        <v>1</v>
      </c>
      <c r="E8" s="6" t="str">
        <f>tblIndiSets!C5</f>
        <v>2) HEALTH SECURITY</v>
      </c>
      <c r="F8" s="7">
        <v>1</v>
      </c>
      <c r="G8" s="9">
        <f>INDEX(tblIndicators!$AC$2:$AC$58,$C8)</f>
        <v>0.25</v>
      </c>
    </row>
    <row r="9" spans="2:7">
      <c r="B9" s="5" t="str">
        <f>tblIndiSets!A6</f>
        <v>INFSAF</v>
      </c>
      <c r="C9" s="5">
        <f>tblIndiSets!B6</f>
        <v>28</v>
      </c>
      <c r="D9" s="5">
        <f>tblIndiSets!D6</f>
        <v>1</v>
      </c>
      <c r="E9" s="6" t="str">
        <f>tblIndiSets!C6</f>
        <v>3) INFRASTRUCTURE SAFETY</v>
      </c>
      <c r="F9" s="10">
        <v>1</v>
      </c>
      <c r="G9" s="9">
        <f>INDEX(tblIndicators!$AC$2:$AC$58,$C9)</f>
        <v>0.25</v>
      </c>
    </row>
    <row r="10" spans="2:7">
      <c r="B10" s="5" t="str">
        <f>tblIndiSets!A7</f>
        <v>PERSAF</v>
      </c>
      <c r="C10" s="5">
        <f>tblIndiSets!B7</f>
        <v>40</v>
      </c>
      <c r="D10" s="5">
        <f>tblIndiSets!D7</f>
        <v>1</v>
      </c>
      <c r="E10" s="6" t="str">
        <f>tblIndiSets!C7</f>
        <v>4) PERSONAL SAFETY</v>
      </c>
      <c r="F10" s="7">
        <v>1</v>
      </c>
      <c r="G10" s="9">
        <f>INDEX(tblIndicators!$AC$2:$AC$58,$C10)</f>
        <v>0.25</v>
      </c>
    </row>
    <row r="11" spans="2:7">
      <c r="B11" s="5"/>
      <c r="C11" s="5"/>
      <c r="D11" s="5"/>
      <c r="E11" s="11"/>
      <c r="F11" s="12"/>
      <c r="G11" s="13"/>
    </row>
    <row r="12" spans="2:7">
      <c r="B12" s="5"/>
      <c r="C12" s="5"/>
      <c r="D12" s="5"/>
      <c r="E12" s="3" t="s">
        <v>1717</v>
      </c>
      <c r="F12" s="14"/>
      <c r="G12" s="14" t="s">
        <v>1716</v>
      </c>
    </row>
    <row r="13" spans="2:7">
      <c r="B13" s="5" t="str">
        <f>tblIndiSets!A10</f>
        <v>DIGSEC_IP</v>
      </c>
      <c r="C13" s="5">
        <f>tblIndiSets!B10</f>
        <v>3</v>
      </c>
      <c r="D13" s="5">
        <f>tblIndiSets!D10</f>
        <v>2</v>
      </c>
      <c r="E13" s="15" t="str">
        <f>tblIndiSets!C10</f>
        <v>1.1) Digital Security (Inputs)</v>
      </c>
      <c r="F13" s="16">
        <v>1</v>
      </c>
      <c r="G13" s="17">
        <f>IF($D13&gt;1,INDEX(tblIndicators!$AC$2:$AC$58,$C13),"")</f>
        <v>0.5</v>
      </c>
    </row>
    <row r="14" spans="2:7">
      <c r="B14" s="5" t="str">
        <f>tblIndiSets!A11</f>
        <v>DIGSEC_OP</v>
      </c>
      <c r="C14" s="5">
        <f>tblIndiSets!B11</f>
        <v>10</v>
      </c>
      <c r="D14" s="5">
        <f>tblIndiSets!D11</f>
        <v>2</v>
      </c>
      <c r="E14" s="15" t="str">
        <f>tblIndiSets!C11</f>
        <v>1.2) Digital Security (Outputs)</v>
      </c>
      <c r="F14" s="16">
        <v>1</v>
      </c>
      <c r="G14" s="17">
        <f>IF($D14&gt;1,INDEX(tblIndicators!$AC$2:$AC$58,$C14),"")</f>
        <v>0.5</v>
      </c>
    </row>
    <row r="15" spans="2:7">
      <c r="B15" s="5" t="str">
        <f>tblIndiSets!A12</f>
        <v>HELSEC_IP</v>
      </c>
      <c r="C15" s="5">
        <f>tblIndiSets!B12</f>
        <v>15</v>
      </c>
      <c r="D15" s="5">
        <f>tblIndiSets!D12</f>
        <v>2</v>
      </c>
      <c r="E15" s="15" t="str">
        <f>tblIndiSets!C12</f>
        <v>2.1) Health Security (Inputs)</v>
      </c>
      <c r="F15" s="16">
        <v>1</v>
      </c>
      <c r="G15" s="17">
        <f>IF($D15&gt;1,INDEX(tblIndicators!$AC$2:$AC$58,$C15),"")</f>
        <v>0.5</v>
      </c>
    </row>
    <row r="16" spans="2:7">
      <c r="B16" s="5" t="str">
        <f>tblIndiSets!A13</f>
        <v>HELSEC_OP</v>
      </c>
      <c r="C16" s="5">
        <f>tblIndiSets!B13</f>
        <v>22</v>
      </c>
      <c r="D16" s="5">
        <f>tblIndiSets!D13</f>
        <v>2</v>
      </c>
      <c r="E16" s="15" t="str">
        <f>tblIndiSets!C13</f>
        <v>2.2) Health Security (Outputs)</v>
      </c>
      <c r="F16" s="16">
        <v>1</v>
      </c>
      <c r="G16" s="17">
        <f>IF($D16&gt;1,INDEX(tblIndicators!$AC$2:$AC$58,$C16),"")</f>
        <v>0.5</v>
      </c>
    </row>
    <row r="17" spans="2:7">
      <c r="B17" s="5" t="str">
        <f>tblIndiSets!A14</f>
        <v>INFSAF_IP</v>
      </c>
      <c r="C17" s="5">
        <f>tblIndiSets!B14</f>
        <v>29</v>
      </c>
      <c r="D17" s="5">
        <f>tblIndiSets!D14</f>
        <v>2</v>
      </c>
      <c r="E17" s="15" t="str">
        <f>tblIndiSets!C14</f>
        <v>3.1) Infrastructure Safety (Inputs)</v>
      </c>
      <c r="F17" s="16">
        <v>1</v>
      </c>
      <c r="G17" s="17">
        <f>IF($D17&gt;1,INDEX(tblIndicators!$AC$2:$AC$58,$C17),"")</f>
        <v>0.5</v>
      </c>
    </row>
    <row r="18" spans="2:7">
      <c r="B18" s="5" t="str">
        <f>tblIndiSets!A15</f>
        <v>INFSAF_OP</v>
      </c>
      <c r="C18" s="5">
        <f>tblIndiSets!B15</f>
        <v>35</v>
      </c>
      <c r="D18" s="5">
        <f>tblIndiSets!D15</f>
        <v>2</v>
      </c>
      <c r="E18" s="15" t="str">
        <f>tblIndiSets!C15</f>
        <v>3.2) Infrastructure Safety (Outputs)</v>
      </c>
      <c r="F18" s="16">
        <v>1</v>
      </c>
      <c r="G18" s="17">
        <f>IF($D18&gt;1,INDEX(tblIndicators!$AC$2:$AC$58,$C18),"")</f>
        <v>0.5</v>
      </c>
    </row>
    <row r="19" spans="2:7">
      <c r="B19" s="5" t="str">
        <f>tblIndiSets!A16</f>
        <v>PERSAF_IP</v>
      </c>
      <c r="C19" s="5">
        <f>tblIndiSets!B16</f>
        <v>41</v>
      </c>
      <c r="D19" s="5">
        <f>tblIndiSets!D16</f>
        <v>2</v>
      </c>
      <c r="E19" s="15" t="str">
        <f>tblIndiSets!C16</f>
        <v>4.1) Personal Safety (Inputs)</v>
      </c>
      <c r="F19" s="16">
        <v>1</v>
      </c>
      <c r="G19" s="17">
        <f>IF($D19&gt;1,INDEX(tblIndicators!$AC$2:$AC$58,$C19),"")</f>
        <v>0.5</v>
      </c>
    </row>
    <row r="20" spans="2:7">
      <c r="B20" s="5" t="str">
        <f>tblIndiSets!A17</f>
        <v>PERSAF_OP</v>
      </c>
      <c r="C20" s="5">
        <f>tblIndiSets!B17</f>
        <v>49</v>
      </c>
      <c r="D20" s="5">
        <f>tblIndiSets!D17</f>
        <v>2</v>
      </c>
      <c r="E20" s="15" t="str">
        <f>tblIndiSets!C17</f>
        <v>4.2) Personal Safety (Outputs)</v>
      </c>
      <c r="F20" s="16">
        <v>1</v>
      </c>
      <c r="G20" s="17">
        <f>IF($D20&gt;1,INDEX(tblIndicators!$AC$2:$AC$58,$C20),"")</f>
        <v>0.5</v>
      </c>
    </row>
    <row r="22" spans="5:7">
      <c r="E22" s="1" t="s">
        <v>1718</v>
      </c>
      <c r="F22" s="18"/>
      <c r="G22" s="14" t="s">
        <v>1716</v>
      </c>
    </row>
    <row r="23" s="1" customFormat="1" spans="2:7">
      <c r="B23" s="19" t="str">
        <f>tblIndiSets!A20</f>
        <v>DIGSEC_IP</v>
      </c>
      <c r="C23" s="19">
        <f>tblIndiSets!B20</f>
        <v>3</v>
      </c>
      <c r="D23" s="19">
        <f>tblIndiSets!D20</f>
        <v>2</v>
      </c>
      <c r="E23" s="20" t="str">
        <f>tblIndiSets!C20</f>
        <v>1.1) Digital Security (Inputs)</v>
      </c>
      <c r="F23" s="3"/>
      <c r="G23"/>
    </row>
    <row r="24" spans="2:7">
      <c r="B24" s="5" t="str">
        <f>tblIndiSets!A21</f>
        <v>DIGSEC_IP_01</v>
      </c>
      <c r="C24" s="5">
        <f>tblIndiSets!B21</f>
        <v>4</v>
      </c>
      <c r="D24" s="5">
        <f>tblIndiSets!D21</f>
        <v>3</v>
      </c>
      <c r="E24" s="15" t="str">
        <f>tblIndiSets!C21</f>
        <v>1.1.1) Privacy policy</v>
      </c>
      <c r="F24" s="16">
        <v>1</v>
      </c>
      <c r="G24" s="17">
        <f>IF($D24&gt;1,INDEX(tblIndicators!$AC$2:$AC$58,$C24),"")</f>
        <v>0.2</v>
      </c>
    </row>
    <row r="25" spans="2:7">
      <c r="B25" s="5" t="str">
        <f>tblIndiSets!A22</f>
        <v>DIGSEC_IP_02</v>
      </c>
      <c r="C25" s="5">
        <f>tblIndiSets!B22</f>
        <v>5</v>
      </c>
      <c r="D25" s="5">
        <f>tblIndiSets!D22</f>
        <v>3</v>
      </c>
      <c r="E25" s="15" t="str">
        <f>tblIndiSets!C22</f>
        <v>1.1.2) Citizen awareness of digital threats</v>
      </c>
      <c r="F25" s="16">
        <v>1</v>
      </c>
      <c r="G25" s="17">
        <f>IF($D25&gt;1,INDEX(tblIndicators!$AC$2:$AC$58,$C25),"")</f>
        <v>0.2</v>
      </c>
    </row>
    <row r="26" spans="2:7">
      <c r="B26" s="5" t="str">
        <f>tblIndiSets!A23</f>
        <v>DIGSEC_IP_03</v>
      </c>
      <c r="C26" s="5">
        <f>tblIndiSets!B23</f>
        <v>6</v>
      </c>
      <c r="D26" s="5">
        <f>tblIndiSets!D23</f>
        <v>3</v>
      </c>
      <c r="E26" s="15" t="str">
        <f>tblIndiSets!C23</f>
        <v>1.1.3) City reliance on digital infrastructure</v>
      </c>
      <c r="F26" s="16">
        <v>0</v>
      </c>
      <c r="G26" s="17">
        <f>IF($D26&gt;1,INDEX(tblIndicators!$AC$2:$AC$58,$C26),"")</f>
        <v>0</v>
      </c>
    </row>
    <row r="27" spans="2:7">
      <c r="B27" s="5" t="str">
        <f>tblIndiSets!A24</f>
        <v>DIGSEC_IP_04</v>
      </c>
      <c r="C27" s="5">
        <f>tblIndiSets!B24</f>
        <v>7</v>
      </c>
      <c r="D27" s="5">
        <f>tblIndiSets!D24</f>
        <v>3</v>
      </c>
      <c r="E27" s="15" t="str">
        <f>tblIndiSets!C24</f>
        <v>1.1.4) Public-private partnerships</v>
      </c>
      <c r="F27" s="16">
        <v>1</v>
      </c>
      <c r="G27" s="17">
        <f>IF($D27&gt;1,INDEX(tblIndicators!$AC$2:$AC$58,$C27),"")</f>
        <v>0.2</v>
      </c>
    </row>
    <row r="28" spans="2:7">
      <c r="B28" s="5" t="str">
        <f>tblIndiSets!A25</f>
        <v>DIGSEC_IP_05</v>
      </c>
      <c r="C28" s="5">
        <f>tblIndiSets!B25</f>
        <v>8</v>
      </c>
      <c r="D28" s="5">
        <f>tblIndiSets!D25</f>
        <v>3</v>
      </c>
      <c r="E28" s="15" t="str">
        <f>tblIndiSets!C25</f>
        <v>1.1.5) Level of technology employed</v>
      </c>
      <c r="F28" s="16">
        <v>1</v>
      </c>
      <c r="G28" s="17">
        <f>IF($D28&gt;1,INDEX(tblIndicators!$AC$2:$AC$58,$C28),"")</f>
        <v>0.2</v>
      </c>
    </row>
    <row r="29" spans="2:7">
      <c r="B29" s="5" t="str">
        <f>tblIndiSets!A26</f>
        <v>DIGSEC_IP_06</v>
      </c>
      <c r="C29" s="5">
        <f>tblIndiSets!B26</f>
        <v>9</v>
      </c>
      <c r="D29" s="5">
        <f>tblIndiSets!D26</f>
        <v>3</v>
      </c>
      <c r="E29" s="15" t="str">
        <f>tblIndiSets!C26</f>
        <v>1.1.6) Dedicated cyber security teams</v>
      </c>
      <c r="F29" s="16">
        <v>1</v>
      </c>
      <c r="G29" s="17">
        <f>IF($D29&gt;1,INDEX(tblIndicators!$AC$2:$AC$58,$C29),"")</f>
        <v>0.2</v>
      </c>
    </row>
    <row r="30" s="1" customFormat="1" spans="2:7">
      <c r="B30" s="19" t="str">
        <f>tblIndiSets!A27</f>
        <v>DIGSEC_OP</v>
      </c>
      <c r="C30" s="19">
        <f>tblIndiSets!B27</f>
        <v>10</v>
      </c>
      <c r="D30" s="19">
        <f>tblIndiSets!D27</f>
        <v>2</v>
      </c>
      <c r="E30" s="20" t="str">
        <f>tblIndiSets!C27</f>
        <v>1.2) Digital Security (Outputs)</v>
      </c>
      <c r="F30" s="3"/>
      <c r="G30"/>
    </row>
    <row r="31" spans="2:7">
      <c r="B31" s="5" t="str">
        <f>tblIndiSets!A28</f>
        <v>DIGSEC_OP_01</v>
      </c>
      <c r="C31" s="5">
        <f>tblIndiSets!B28</f>
        <v>11</v>
      </c>
      <c r="D31" s="5">
        <f>tblIndiSets!D28</f>
        <v>3</v>
      </c>
      <c r="E31" s="15" t="str">
        <f>tblIndiSets!C28</f>
        <v>1.2.1) Frequency of identity theft</v>
      </c>
      <c r="F31" s="16">
        <v>1</v>
      </c>
      <c r="G31" s="17">
        <f>IF($D31&gt;1,INDEX(tblIndicators!$AC$2:$AC$58,$C31),"")</f>
        <v>0.333333333333333</v>
      </c>
    </row>
    <row r="32" spans="2:7">
      <c r="B32" s="5" t="str">
        <f>tblIndiSets!A29</f>
        <v>DIGSEC_OP_02</v>
      </c>
      <c r="C32" s="5">
        <f>tblIndiSets!B29</f>
        <v>12</v>
      </c>
      <c r="D32" s="5">
        <f>tblIndiSets!D29</f>
        <v>3</v>
      </c>
      <c r="E32" s="15" t="str">
        <f>tblIndiSets!C29</f>
        <v>1.2.2) Precentage of computers infected</v>
      </c>
      <c r="F32" s="16">
        <v>1</v>
      </c>
      <c r="G32" s="17">
        <f>IF($D32&gt;1,INDEX(tblIndicators!$AC$2:$AC$58,$C32),"")</f>
        <v>0.333333333333333</v>
      </c>
    </row>
    <row r="33" s="1" customFormat="1" spans="2:7">
      <c r="B33" s="5" t="str">
        <f>tblIndiSets!A30</f>
        <v>DIGSEC_OP_03</v>
      </c>
      <c r="C33" s="5">
        <f>tblIndiSets!B30</f>
        <v>13</v>
      </c>
      <c r="D33" s="5">
        <f>tblIndiSets!D30</f>
        <v>3</v>
      </c>
      <c r="E33" s="15" t="str">
        <f>tblIndiSets!C30</f>
        <v>1.2.3) Percent with internet access</v>
      </c>
      <c r="F33" s="16">
        <v>1</v>
      </c>
      <c r="G33" s="17">
        <f>IF($D33&gt;1,INDEX(tblIndicators!$AC$2:$AC$58,$C33),"")</f>
        <v>0.333333333333333</v>
      </c>
    </row>
    <row r="34" s="1" customFormat="1" spans="2:7">
      <c r="B34" s="19" t="str">
        <f>tblIndiSets!A31</f>
        <v>HELSEC_IP</v>
      </c>
      <c r="C34" s="19">
        <f>tblIndiSets!B31</f>
        <v>15</v>
      </c>
      <c r="D34" s="19">
        <f>tblIndiSets!D31</f>
        <v>2</v>
      </c>
      <c r="E34" s="20" t="str">
        <f>tblIndiSets!C31</f>
        <v>2.1) Health Security (Inputs)</v>
      </c>
      <c r="F34" s="3"/>
      <c r="G34"/>
    </row>
    <row r="35" spans="2:7">
      <c r="B35" s="5" t="str">
        <f>tblIndiSets!A32</f>
        <v>HELSEC_IP_01</v>
      </c>
      <c r="C35" s="5">
        <f>tblIndiSets!B32</f>
        <v>16</v>
      </c>
      <c r="D35" s="5">
        <f>tblIndiSets!D32</f>
        <v>3</v>
      </c>
      <c r="E35" s="15" t="str">
        <f>tblIndiSets!C32</f>
        <v>2.1.1) Environmental policies</v>
      </c>
      <c r="F35" s="16">
        <v>1</v>
      </c>
      <c r="G35" s="17">
        <f>IF($D35&gt;1,INDEX(tblIndicators!$AC$2:$AC$58,$C35),"")</f>
        <v>0.166666666666667</v>
      </c>
    </row>
    <row r="36" spans="2:7">
      <c r="B36" s="5" t="str">
        <f>tblIndiSets!A33</f>
        <v>HELSEC_IP_02</v>
      </c>
      <c r="C36" s="5">
        <f>tblIndiSets!B33</f>
        <v>17</v>
      </c>
      <c r="D36" s="5">
        <f>tblIndiSets!D33</f>
        <v>3</v>
      </c>
      <c r="E36" s="15" t="str">
        <f>tblIndiSets!C33</f>
        <v>2.1.2) Access to healthcare</v>
      </c>
      <c r="F36" s="16">
        <v>1</v>
      </c>
      <c r="G36" s="17">
        <f>IF($D36&gt;1,INDEX(tblIndicators!$AC$2:$AC$58,$C36),"")</f>
        <v>0.166666666666667</v>
      </c>
    </row>
    <row r="37" spans="2:7">
      <c r="B37" s="5" t="str">
        <f>tblIndiSets!A34</f>
        <v>HELSEC_IP_03</v>
      </c>
      <c r="C37" s="5">
        <f>tblIndiSets!B34</f>
        <v>18</v>
      </c>
      <c r="D37" s="5">
        <f>tblIndiSets!D34</f>
        <v>3</v>
      </c>
      <c r="E37" s="15" t="str">
        <f>tblIndiSets!C34</f>
        <v>2.1.3) No. of beds per 1000</v>
      </c>
      <c r="F37" s="16">
        <v>1</v>
      </c>
      <c r="G37" s="17">
        <f>IF($D37&gt;1,INDEX(tblIndicators!$AC$2:$AC$58,$C37),"")</f>
        <v>0.166666666666667</v>
      </c>
    </row>
    <row r="38" spans="2:7">
      <c r="B38" s="5" t="str">
        <f>tblIndiSets!A35</f>
        <v>HELSEC_IP_04</v>
      </c>
      <c r="C38" s="5">
        <f>tblIndiSets!B35</f>
        <v>19</v>
      </c>
      <c r="D38" s="5">
        <f>tblIndiSets!D35</f>
        <v>3</v>
      </c>
      <c r="E38" s="15" t="str">
        <f>tblIndiSets!C35</f>
        <v>2.1.4) Number of doctors per 1000</v>
      </c>
      <c r="F38" s="16">
        <v>1</v>
      </c>
      <c r="G38" s="17">
        <f>IF($D38&gt;1,INDEX(tblIndicators!$AC$2:$AC$58,$C38),"")</f>
        <v>0.166666666666667</v>
      </c>
    </row>
    <row r="39" spans="2:7">
      <c r="B39" s="5" t="str">
        <f>tblIndiSets!A36</f>
        <v>HELSEC_IP_05</v>
      </c>
      <c r="C39" s="5">
        <f>tblIndiSets!B36</f>
        <v>20</v>
      </c>
      <c r="D39" s="5">
        <f>tblIndiSets!D36</f>
        <v>3</v>
      </c>
      <c r="E39" s="15" t="str">
        <f>tblIndiSets!C36</f>
        <v>2.1.5) Access to safe and quality food</v>
      </c>
      <c r="F39" s="16">
        <v>1</v>
      </c>
      <c r="G39" s="17">
        <f>IF($D39&gt;1,INDEX(tblIndicators!$AC$2:$AC$58,$C39),"")</f>
        <v>0.166666666666667</v>
      </c>
    </row>
    <row r="40" spans="2:7">
      <c r="B40" s="5" t="str">
        <f>tblIndiSets!A37</f>
        <v>HELSEC_IP_06</v>
      </c>
      <c r="C40" s="5">
        <f>tblIndiSets!B37</f>
        <v>21</v>
      </c>
      <c r="D40" s="5">
        <f>tblIndiSets!D37</f>
        <v>3</v>
      </c>
      <c r="E40" s="15" t="str">
        <f>tblIndiSets!C37</f>
        <v>2.1.6) Quality of health services</v>
      </c>
      <c r="F40" s="16">
        <v>1</v>
      </c>
      <c r="G40" s="17">
        <f>IF($D40&gt;1,INDEX(tblIndicators!$AC$2:$AC$58,$C40),"")</f>
        <v>0.166666666666667</v>
      </c>
    </row>
    <row r="41" s="1" customFormat="1" spans="2:7">
      <c r="B41" s="19" t="str">
        <f>tblIndiSets!A38</f>
        <v>HELSEC_OP</v>
      </c>
      <c r="C41" s="19">
        <f>tblIndiSets!B38</f>
        <v>22</v>
      </c>
      <c r="D41" s="19">
        <f>tblIndiSets!D38</f>
        <v>2</v>
      </c>
      <c r="E41" s="20" t="str">
        <f>tblIndiSets!C38</f>
        <v>2.2) Health Security (Outputs)</v>
      </c>
      <c r="F41" s="3"/>
      <c r="G41"/>
    </row>
    <row r="42" spans="2:7">
      <c r="B42" s="5" t="str">
        <f>tblIndiSets!A39</f>
        <v>HELSEC_OP_01</v>
      </c>
      <c r="C42" s="5">
        <f>tblIndiSets!B39</f>
        <v>23</v>
      </c>
      <c r="D42" s="5">
        <f>tblIndiSets!D39</f>
        <v>3</v>
      </c>
      <c r="E42" s="15" t="str">
        <f>tblIndiSets!C39</f>
        <v>2.2.1) Air quality</v>
      </c>
      <c r="F42" s="16">
        <v>1</v>
      </c>
      <c r="G42" s="17">
        <f>IF($D42&gt;1,INDEX(tblIndicators!$AC$2:$AC$58,$C42),"")</f>
        <v>0.2</v>
      </c>
    </row>
    <row r="43" s="1" customFormat="1" spans="2:7">
      <c r="B43" s="5" t="str">
        <f>tblIndiSets!A40</f>
        <v>HELSEC_OP_02</v>
      </c>
      <c r="C43" s="5">
        <f>tblIndiSets!B40</f>
        <v>24</v>
      </c>
      <c r="D43" s="5">
        <f>tblIndiSets!D40</f>
        <v>3</v>
      </c>
      <c r="E43" s="15" t="str">
        <f>tblIndiSets!C40</f>
        <v>2.2.2) Water quality</v>
      </c>
      <c r="F43" s="16">
        <v>1</v>
      </c>
      <c r="G43" s="17">
        <f>IF($D43&gt;1,INDEX(tblIndicators!$AC$2:$AC$58,$C43),"")</f>
        <v>0.2</v>
      </c>
    </row>
    <row r="44" spans="2:7">
      <c r="B44" s="5" t="str">
        <f>tblIndiSets!A41</f>
        <v>HELSEC_OP_03</v>
      </c>
      <c r="C44" s="5">
        <f>tblIndiSets!B41</f>
        <v>25</v>
      </c>
      <c r="D44" s="5">
        <f>tblIndiSets!D41</f>
        <v>3</v>
      </c>
      <c r="E44" s="15" t="str">
        <f>tblIndiSets!C41</f>
        <v>2.2.3) Life expectancy</v>
      </c>
      <c r="F44" s="16">
        <v>1</v>
      </c>
      <c r="G44" s="17">
        <f>IF($D44&gt;1,INDEX(tblIndicators!$AC$2:$AC$58,$C44),"")</f>
        <v>0.2</v>
      </c>
    </row>
    <row r="45" spans="2:7">
      <c r="B45" s="5" t="str">
        <f>tblIndiSets!A42</f>
        <v>HELSEC_OP_04</v>
      </c>
      <c r="C45" s="5">
        <f>tblIndiSets!B42</f>
        <v>26</v>
      </c>
      <c r="D45" s="5">
        <f>tblIndiSets!D42</f>
        <v>3</v>
      </c>
      <c r="E45" s="15" t="str">
        <f>tblIndiSets!C42</f>
        <v>2.2.4) Infant mortality (deaths per 1,000 live births)</v>
      </c>
      <c r="F45" s="16">
        <v>1</v>
      </c>
      <c r="G45" s="17">
        <f>IF($D45&gt;1,INDEX(tblIndicators!$AC$2:$AC$58,$C45),"")</f>
        <v>0.2</v>
      </c>
    </row>
    <row r="46" spans="2:7">
      <c r="B46" s="5" t="str">
        <f>tblIndiSets!A43</f>
        <v>HELSEC_OP_05</v>
      </c>
      <c r="C46" s="5">
        <f>tblIndiSets!B43</f>
        <v>27</v>
      </c>
      <c r="D46" s="5">
        <f>tblIndiSets!D43</f>
        <v>3</v>
      </c>
      <c r="E46" s="15" t="str">
        <f>tblIndiSets!C43</f>
        <v>2.2.5) Cancer mortality rate ( Cancer deaths per 100,000)</v>
      </c>
      <c r="F46" s="16">
        <v>1</v>
      </c>
      <c r="G46" s="17">
        <f>IF($D46&gt;1,INDEX(tblIndicators!$AC$2:$AC$58,$C46),"")</f>
        <v>0.2</v>
      </c>
    </row>
    <row r="47" s="1" customFormat="1" spans="2:7">
      <c r="B47" s="19" t="str">
        <f>tblIndiSets!A44</f>
        <v>INFSAF_IP</v>
      </c>
      <c r="C47" s="19">
        <f>tblIndiSets!B44</f>
        <v>29</v>
      </c>
      <c r="D47" s="19">
        <f>tblIndiSets!D44</f>
        <v>2</v>
      </c>
      <c r="E47" s="20" t="str">
        <f>tblIndiSets!C44</f>
        <v>3.1) Infrastructure Safety (Inputs)</v>
      </c>
      <c r="F47" s="3"/>
      <c r="G47"/>
    </row>
    <row r="48" spans="2:7">
      <c r="B48" s="5" t="str">
        <f>tblIndiSets!A45</f>
        <v>INFSAF_IP_01</v>
      </c>
      <c r="C48" s="5">
        <f>tblIndiSets!B45</f>
        <v>30</v>
      </c>
      <c r="D48" s="5">
        <f>tblIndiSets!D45</f>
        <v>3</v>
      </c>
      <c r="E48" s="15" t="str">
        <f>tblIndiSets!C45</f>
        <v>3.1.1) Enforcement of transport safety</v>
      </c>
      <c r="F48" s="16">
        <v>1</v>
      </c>
      <c r="G48" s="17">
        <f>IF($D48&gt;1,INDEX(tblIndicators!$AC$2:$AC$58,$C48),"")</f>
        <v>0.2</v>
      </c>
    </row>
    <row r="49" spans="2:7">
      <c r="B49" s="5" t="str">
        <f>tblIndiSets!A46</f>
        <v>INFSAF_IP_02</v>
      </c>
      <c r="C49" s="5">
        <f>tblIndiSets!B46</f>
        <v>31</v>
      </c>
      <c r="D49" s="5">
        <f>tblIndiSets!D46</f>
        <v>3</v>
      </c>
      <c r="E49" s="15" t="str">
        <f>tblIndiSets!C46</f>
        <v>3.1.2) Pedestrian friendliness</v>
      </c>
      <c r="F49" s="16">
        <v>1</v>
      </c>
      <c r="G49" s="17">
        <f>IF($D49&gt;1,INDEX(tblIndicators!$AC$2:$AC$58,$C49),"")</f>
        <v>0.2</v>
      </c>
    </row>
    <row r="50" spans="2:7">
      <c r="B50" s="5" t="str">
        <f>tblIndiSets!A47</f>
        <v>INFSAF_IP_03</v>
      </c>
      <c r="C50" s="5">
        <f>tblIndiSets!B47</f>
        <v>32</v>
      </c>
      <c r="D50" s="5">
        <f>tblIndiSets!D47</f>
        <v>3</v>
      </c>
      <c r="E50" s="15" t="str">
        <f>tblIndiSets!C47</f>
        <v>3.1.3) Quality of road infrastructure</v>
      </c>
      <c r="F50" s="16">
        <v>1</v>
      </c>
      <c r="G50" s="17">
        <f>IF($D50&gt;1,INDEX(tblIndicators!$AC$2:$AC$58,$C50),"")</f>
        <v>0.2</v>
      </c>
    </row>
    <row r="51" spans="2:7">
      <c r="B51" s="5" t="str">
        <f>tblIndiSets!A48</f>
        <v>INFSAF_IP_04</v>
      </c>
      <c r="C51" s="5">
        <f>tblIndiSets!B48</f>
        <v>33</v>
      </c>
      <c r="D51" s="5">
        <f>tblIndiSets!D48</f>
        <v>3</v>
      </c>
      <c r="E51" s="15" t="str">
        <f>tblIndiSets!C48</f>
        <v>3.1.4) Quality of electricity infrastructure</v>
      </c>
      <c r="F51" s="16">
        <v>1</v>
      </c>
      <c r="G51" s="17">
        <f>IF($D51&gt;1,INDEX(tblIndicators!$AC$2:$AC$58,$C51),"")</f>
        <v>0.2</v>
      </c>
    </row>
    <row r="52" s="1" customFormat="1" spans="2:7">
      <c r="B52" s="5" t="str">
        <f>tblIndiSets!A49</f>
        <v>INFSAF_IP_05</v>
      </c>
      <c r="C52" s="5">
        <f>tblIndiSets!B49</f>
        <v>34</v>
      </c>
      <c r="D52" s="5">
        <f>tblIndiSets!D49</f>
        <v>3</v>
      </c>
      <c r="E52" s="15" t="str">
        <f>tblIndiSets!C49</f>
        <v>3.1.5) Disaster Management/Business Continuity Plan</v>
      </c>
      <c r="F52" s="16">
        <v>1</v>
      </c>
      <c r="G52" s="17">
        <f>IF($D52&gt;1,INDEX(tblIndicators!$AC$2:$AC$58,$C52),"")</f>
        <v>0.2</v>
      </c>
    </row>
    <row r="53" s="1" customFormat="1" spans="2:7">
      <c r="B53" s="19" t="str">
        <f>tblIndiSets!A50</f>
        <v>INFSAF_OP</v>
      </c>
      <c r="C53" s="19">
        <f>tblIndiSets!B50</f>
        <v>35</v>
      </c>
      <c r="D53" s="19">
        <f>tblIndiSets!D50</f>
        <v>2</v>
      </c>
      <c r="E53" s="20" t="str">
        <f>tblIndiSets!C50</f>
        <v>3.2) Infrastructure Safety (Outputs)</v>
      </c>
      <c r="F53" s="3"/>
      <c r="G53"/>
    </row>
    <row r="54" s="1" customFormat="1" spans="2:7">
      <c r="B54" s="5" t="str">
        <f>tblIndiSets!A51</f>
        <v>INFSAF_OP_01</v>
      </c>
      <c r="C54" s="5">
        <f>tblIndiSets!B51</f>
        <v>36</v>
      </c>
      <c r="D54" s="5">
        <f>tblIndiSets!D51</f>
        <v>3</v>
      </c>
      <c r="E54" s="15" t="str">
        <f>tblIndiSets!C51</f>
        <v>3.2.1) Death from natural disasters</v>
      </c>
      <c r="F54" s="16">
        <v>1</v>
      </c>
      <c r="G54" s="17">
        <f>IF($D54&gt;1,INDEX(tblIndicators!$AC$2:$AC$58,$C54),"")</f>
        <v>0.25</v>
      </c>
    </row>
    <row r="55" spans="2:7">
      <c r="B55" s="5" t="str">
        <f>tblIndiSets!A52</f>
        <v>INFSAF_OP_02</v>
      </c>
      <c r="C55" s="5">
        <f>tblIndiSets!B52</f>
        <v>37</v>
      </c>
      <c r="D55" s="5">
        <f>tblIndiSets!D52</f>
        <v>3</v>
      </c>
      <c r="E55" s="15" t="str">
        <f>tblIndiSets!C52</f>
        <v>3.2.2) Frequency of vehicular accidents</v>
      </c>
      <c r="F55" s="16">
        <v>1</v>
      </c>
      <c r="G55" s="17">
        <f>IF($D55&gt;1,INDEX(tblIndicators!$AC$2:$AC$58,$C55),"")</f>
        <v>0.25</v>
      </c>
    </row>
    <row r="56" spans="2:7">
      <c r="B56" s="5" t="str">
        <f>tblIndiSets!A53</f>
        <v>INFSAF_OP_03</v>
      </c>
      <c r="C56" s="5">
        <f>tblIndiSets!B53</f>
        <v>38</v>
      </c>
      <c r="D56" s="5">
        <f>tblIndiSets!D53</f>
        <v>3</v>
      </c>
      <c r="E56" s="15" t="str">
        <f>tblIndiSets!C53</f>
        <v>3.2.3) Frequency of pedestrian deaths</v>
      </c>
      <c r="F56" s="16">
        <v>1</v>
      </c>
      <c r="G56" s="17">
        <f>IF($D56&gt;1,INDEX(tblIndicators!$AC$2:$AC$58,$C56),"")</f>
        <v>0.25</v>
      </c>
    </row>
    <row r="57" spans="2:7">
      <c r="B57" s="5" t="str">
        <f>tblIndiSets!A54</f>
        <v>INFSAF_OP_04</v>
      </c>
      <c r="C57" s="5">
        <f>tblIndiSets!B54</f>
        <v>39</v>
      </c>
      <c r="D57" s="5">
        <f>tblIndiSets!D54</f>
        <v>3</v>
      </c>
      <c r="E57" s="15" t="str">
        <f>tblIndiSets!C54</f>
        <v>3.2.4) Percent living in urban slums</v>
      </c>
      <c r="F57" s="16">
        <v>1</v>
      </c>
      <c r="G57" s="17">
        <f>IF($D57&gt;1,INDEX(tblIndicators!$AC$2:$AC$58,$C57),"")</f>
        <v>0.25</v>
      </c>
    </row>
    <row r="58" s="1" customFormat="1" spans="2:7">
      <c r="B58" s="19" t="str">
        <f>tblIndiSets!A55</f>
        <v>PERSAF_IP</v>
      </c>
      <c r="C58" s="19">
        <f>tblIndiSets!B55</f>
        <v>41</v>
      </c>
      <c r="D58" s="19">
        <f>tblIndiSets!D55</f>
        <v>2</v>
      </c>
      <c r="E58" s="20" t="str">
        <f>tblIndiSets!C55</f>
        <v>4.1) Personal Safety (Inputs)</v>
      </c>
      <c r="F58" s="3"/>
      <c r="G58"/>
    </row>
    <row r="59" s="1" customFormat="1" spans="2:7">
      <c r="B59" s="5" t="str">
        <f>tblIndiSets!A56</f>
        <v>PERSAF_IP_01</v>
      </c>
      <c r="C59" s="5">
        <f>tblIndiSets!B56</f>
        <v>42</v>
      </c>
      <c r="D59" s="5">
        <f>tblIndiSets!D56</f>
        <v>3</v>
      </c>
      <c r="E59" s="15" t="str">
        <f>tblIndiSets!C56</f>
        <v>4.1.1) Level of police engagement</v>
      </c>
      <c r="F59" s="16">
        <v>1</v>
      </c>
      <c r="G59" s="17">
        <f>IF($D59&gt;1,INDEX(tblIndicators!$AC$2:$AC$58,$C59),"")</f>
        <v>0.142857142857143</v>
      </c>
    </row>
    <row r="60" spans="2:7">
      <c r="B60" s="5" t="str">
        <f>tblIndiSets!A57</f>
        <v>PERSAF_IP_02</v>
      </c>
      <c r="C60" s="5">
        <f>tblIndiSets!B57</f>
        <v>43</v>
      </c>
      <c r="D60" s="5">
        <f>tblIndiSets!D57</f>
        <v>3</v>
      </c>
      <c r="E60" s="15" t="str">
        <f>tblIndiSets!C57</f>
        <v>4.1.2) Community-based patrolling</v>
      </c>
      <c r="F60" s="16">
        <v>1</v>
      </c>
      <c r="G60" s="17">
        <f>IF($D60&gt;1,INDEX(tblIndicators!$AC$2:$AC$58,$C60),"")</f>
        <v>0.142857142857143</v>
      </c>
    </row>
    <row r="61" spans="2:7">
      <c r="B61" s="5" t="str">
        <f>tblIndiSets!A58</f>
        <v>PERSAF_IP_03</v>
      </c>
      <c r="C61" s="5">
        <f>tblIndiSets!B58</f>
        <v>44</v>
      </c>
      <c r="D61" s="5">
        <f>tblIndiSets!D58</f>
        <v>3</v>
      </c>
      <c r="E61" s="15" t="str">
        <f>tblIndiSets!C58</f>
        <v>4.1.3) Availability of street-level crime data</v>
      </c>
      <c r="F61" s="16">
        <v>1</v>
      </c>
      <c r="G61" s="17">
        <f>IF($D61&gt;1,INDEX(tblIndicators!$AC$2:$AC$58,$C61),"")</f>
        <v>0.142857142857143</v>
      </c>
    </row>
    <row r="62" spans="2:7">
      <c r="B62" s="5" t="str">
        <f>tblIndiSets!A59</f>
        <v>PERSAF_IP_04</v>
      </c>
      <c r="C62" s="5">
        <f>tblIndiSets!B59</f>
        <v>45</v>
      </c>
      <c r="D62" s="5">
        <f>tblIndiSets!D59</f>
        <v>3</v>
      </c>
      <c r="E62" s="15" t="str">
        <f>tblIndiSets!C59</f>
        <v>4.1.4) Use of data-driven techniques for crime</v>
      </c>
      <c r="F62" s="16">
        <v>1</v>
      </c>
      <c r="G62" s="17">
        <f>IF($D62&gt;1,INDEX(tblIndicators!$AC$2:$AC$58,$C62),"")</f>
        <v>0.142857142857143</v>
      </c>
    </row>
    <row r="63" spans="2:7">
      <c r="B63" s="5" t="str">
        <f>tblIndiSets!A60</f>
        <v>PERSAF_IP_05</v>
      </c>
      <c r="C63" s="5">
        <f>tblIndiSets!B60</f>
        <v>46</v>
      </c>
      <c r="D63" s="5">
        <f>tblIndiSets!D60</f>
        <v>3</v>
      </c>
      <c r="E63" s="15" t="str">
        <f>tblIndiSets!C60</f>
        <v>4.1.5) Private security measures</v>
      </c>
      <c r="F63" s="16">
        <v>1</v>
      </c>
      <c r="G63" s="17">
        <f>IF($D63&gt;1,INDEX(tblIndicators!$AC$2:$AC$58,$C63),"")</f>
        <v>0.142857142857143</v>
      </c>
    </row>
    <row r="64" spans="2:7">
      <c r="B64" s="5" t="str">
        <f>tblIndiSets!A61</f>
        <v>PERSAF_IP_06</v>
      </c>
      <c r="C64" s="5">
        <f>tblIndiSets!B61</f>
        <v>47</v>
      </c>
      <c r="D64" s="5">
        <f>tblIndiSets!D61</f>
        <v>3</v>
      </c>
      <c r="E64" s="15" t="str">
        <f>tblIndiSets!C61</f>
        <v>4.1.6) Gun regulation and enforcement</v>
      </c>
      <c r="F64" s="16">
        <v>1</v>
      </c>
      <c r="G64" s="17">
        <f>IF($D64&gt;1,INDEX(tblIndicators!$AC$2:$AC$58,$C64),"")</f>
        <v>0.142857142857143</v>
      </c>
    </row>
    <row r="65" spans="2:7">
      <c r="B65" s="5" t="str">
        <f>tblIndiSets!A62</f>
        <v>PERSAF_IP_07</v>
      </c>
      <c r="C65" s="5">
        <f>tblIndiSets!B62</f>
        <v>48</v>
      </c>
      <c r="D65" s="5">
        <f>tblIndiSets!D62</f>
        <v>3</v>
      </c>
      <c r="E65" s="15" t="str">
        <f>tblIndiSets!C62</f>
        <v>4.1.7) Political Stability Risk</v>
      </c>
      <c r="F65" s="16">
        <v>1</v>
      </c>
      <c r="G65" s="17">
        <f>IF($D65&gt;1,INDEX(tblIndicators!$AC$2:$AC$58,$C65),"")</f>
        <v>0.142857142857143</v>
      </c>
    </row>
    <row r="66" s="1" customFormat="1" spans="2:7">
      <c r="B66" s="19" t="str">
        <f>tblIndiSets!A63</f>
        <v>PERSAF_OP</v>
      </c>
      <c r="C66" s="19">
        <f>tblIndiSets!B63</f>
        <v>49</v>
      </c>
      <c r="D66" s="19">
        <f>tblIndiSets!D63</f>
        <v>2</v>
      </c>
      <c r="E66" s="20" t="str">
        <f>tblIndiSets!C63</f>
        <v>4.2) Personal Safety (Outputs)</v>
      </c>
      <c r="F66" s="3"/>
      <c r="G66"/>
    </row>
    <row r="67" spans="2:7">
      <c r="B67" s="5" t="str">
        <f>tblIndiSets!A64</f>
        <v>PERSAF_OP_01</v>
      </c>
      <c r="C67" s="5">
        <f>tblIndiSets!B64</f>
        <v>50</v>
      </c>
      <c r="D67" s="5">
        <f>tblIndiSets!D64</f>
        <v>3</v>
      </c>
      <c r="E67" s="15" t="str">
        <f>tblIndiSets!C64</f>
        <v>4.2.1) Prevalence of petty crime</v>
      </c>
      <c r="F67" s="16">
        <v>1</v>
      </c>
      <c r="G67" s="17">
        <f>IF($D67&gt;1,INDEX(tblIndicators!$AC$2:$AC$58,$C67),"")</f>
        <v>0.125</v>
      </c>
    </row>
    <row r="68" spans="2:7">
      <c r="B68" s="5" t="str">
        <f>tblIndiSets!A65</f>
        <v>PERSAF_OP_02</v>
      </c>
      <c r="C68" s="5">
        <f>tblIndiSets!B65</f>
        <v>51</v>
      </c>
      <c r="D68" s="5">
        <f>tblIndiSets!D65</f>
        <v>3</v>
      </c>
      <c r="E68" s="15" t="str">
        <f>tblIndiSets!C65</f>
        <v>4.2.2) Prevalence of violence crime</v>
      </c>
      <c r="F68" s="16">
        <v>1</v>
      </c>
      <c r="G68" s="17">
        <f>IF($D68&gt;1,INDEX(tblIndicators!$AC$2:$AC$58,$C68),"")</f>
        <v>0.125</v>
      </c>
    </row>
    <row r="69" spans="2:7">
      <c r="B69" s="5" t="str">
        <f>tblIndiSets!A66</f>
        <v>PERSAF_OP_03</v>
      </c>
      <c r="C69" s="5">
        <f>tblIndiSets!B66</f>
        <v>52</v>
      </c>
      <c r="D69" s="5">
        <f>tblIndiSets!D66</f>
        <v>3</v>
      </c>
      <c r="E69" s="15" t="str">
        <f>tblIndiSets!C66</f>
        <v>4.2.3) Criminal gang activity</v>
      </c>
      <c r="F69" s="16">
        <v>1</v>
      </c>
      <c r="G69" s="17">
        <f>IF($D69&gt;1,INDEX(tblIndicators!$AC$2:$AC$58,$C69),"")</f>
        <v>0.125</v>
      </c>
    </row>
    <row r="70" spans="2:7">
      <c r="B70" s="5" t="str">
        <f>tblIndiSets!A67</f>
        <v>PERSAF_OP_04</v>
      </c>
      <c r="C70" s="5">
        <f>tblIndiSets!B67</f>
        <v>53</v>
      </c>
      <c r="D70" s="5">
        <f>tblIndiSets!D67</f>
        <v>3</v>
      </c>
      <c r="E70" s="15" t="str">
        <f>tblIndiSets!C67</f>
        <v>4.2.4) Level of corruption in police force</v>
      </c>
      <c r="F70" s="16">
        <v>1</v>
      </c>
      <c r="G70" s="17">
        <f>IF($D70&gt;1,INDEX(tblIndicators!$AC$2:$AC$58,$C70),"")</f>
        <v>0.125</v>
      </c>
    </row>
    <row r="71" spans="2:7">
      <c r="B71" s="5" t="str">
        <f>tblIndiSets!A68</f>
        <v>PERSAF_OP_05</v>
      </c>
      <c r="C71" s="5">
        <f>tblIndiSets!B68</f>
        <v>54</v>
      </c>
      <c r="D71" s="5">
        <f>tblIndiSets!D68</f>
        <v>3</v>
      </c>
      <c r="E71" s="15" t="str">
        <f>tblIndiSets!C68</f>
        <v>4.2.5) Rate of drug use</v>
      </c>
      <c r="F71" s="16">
        <v>1</v>
      </c>
      <c r="G71" s="17">
        <f>IF($D71&gt;1,INDEX(tblIndicators!$AC$2:$AC$58,$C71),"")</f>
        <v>0.125</v>
      </c>
    </row>
    <row r="72" spans="2:7">
      <c r="B72" s="5" t="str">
        <f>tblIndiSets!A69</f>
        <v>PERSAF_OP_07</v>
      </c>
      <c r="C72" s="5">
        <f>tblIndiSets!B69</f>
        <v>55</v>
      </c>
      <c r="D72" s="5">
        <f>tblIndiSets!D69</f>
        <v>3</v>
      </c>
      <c r="E72" s="15" t="str">
        <f>tblIndiSets!C69</f>
        <v>4.2.6) Frequency of terrorist attacks</v>
      </c>
      <c r="F72" s="16">
        <v>1</v>
      </c>
      <c r="G72" s="17">
        <f>IF($D72&gt;1,INDEX(tblIndicators!$AC$2:$AC$58,$C72),"")</f>
        <v>0.125</v>
      </c>
    </row>
    <row r="73" spans="2:7">
      <c r="B73" s="5" t="str">
        <f>tblIndiSets!A70</f>
        <v>PERSAF_OP_08</v>
      </c>
      <c r="C73" s="5">
        <f>tblIndiSets!B70</f>
        <v>56</v>
      </c>
      <c r="D73" s="5">
        <f>tblIndiSets!D70</f>
        <v>3</v>
      </c>
      <c r="E73" s="15" t="str">
        <f>tblIndiSets!C70</f>
        <v>4.2.7) Gender safety</v>
      </c>
      <c r="F73" s="16">
        <v>1</v>
      </c>
      <c r="G73" s="17">
        <f>IF($D73&gt;1,INDEX(tblIndicators!$AC$2:$AC$58,$C73),"")</f>
        <v>0.125</v>
      </c>
    </row>
    <row r="74" spans="2:7">
      <c r="B74" s="5" t="str">
        <f>tblIndiSets!A71</f>
        <v>PERSAF_OP_09</v>
      </c>
      <c r="C74" s="5">
        <f>tblIndiSets!B71</f>
        <v>57</v>
      </c>
      <c r="D74" s="5">
        <f>tblIndiSets!D71</f>
        <v>3</v>
      </c>
      <c r="E74" s="15" t="str">
        <f>tblIndiSets!C71</f>
        <v>4.2.8) Perceptions of safety</v>
      </c>
      <c r="F74" s="16">
        <v>1</v>
      </c>
      <c r="G74" s="17">
        <f>IF($D74&gt;1,INDEX(tblIndicators!$AC$2:$AC$58,$C74),"")</f>
        <v>0.125</v>
      </c>
    </row>
    <row r="75" spans="2:2">
      <c r="B75" s="5"/>
    </row>
    <row r="76" spans="2:2">
      <c r="B76" s="5"/>
    </row>
    <row r="77" spans="2:2">
      <c r="B77" s="5"/>
    </row>
  </sheetData>
  <sheetProtection sheet="1" selectLockedCells="1" objects="1" scenarios="1"/>
  <pageMargins left="0.708661417322835" right="0.708661417322835" top="0.748031496062992" bottom="0.748031496062992" header="0.31496062992126" footer="0.31496062992126"/>
  <pageSetup paperSize="1" scale="49" orientation="landscape"/>
  <headerFooter>
    <oddHeader>&amp;R&amp;"Calibri,Regular"&amp;10&amp;K808080EIU SAFE CITY INDEX 2014</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595969" name="Drop Down 1" r:id="rId3">
              <controlPr defaultSize="0">
                <anchor moveWithCells="1">
                  <from>
                    <xdr:col>3</xdr:col>
                    <xdr:colOff>323850</xdr:colOff>
                    <xdr:row>2</xdr:row>
                    <xdr:rowOff>133350</xdr:rowOff>
                  </from>
                  <to>
                    <xdr:col>5</xdr:col>
                    <xdr:colOff>485775</xdr:colOff>
                    <xdr:row>2</xdr:row>
                    <xdr:rowOff>361950</xdr:rowOff>
                  </to>
                </anchor>
              </controlPr>
            </control>
          </mc:Choice>
        </mc:AlternateContent>
        <mc:AlternateContent xmlns:mc="http://schemas.openxmlformats.org/markup-compatibility/2006">
          <mc:Choice Requires="x14">
            <control shapeId="595970" name="Button 2" r:id="rId4">
              <controlPr print="0" defaultSize="0">
                <anchor moveWithCells="1" sizeWithCells="1">
                  <from>
                    <xdr:col>8</xdr:col>
                    <xdr:colOff>0</xdr:colOff>
                    <xdr:row>2</xdr:row>
                    <xdr:rowOff>104775</xdr:rowOff>
                  </from>
                  <to>
                    <xdr:col>9</xdr:col>
                    <xdr:colOff>476250</xdr:colOff>
                    <xdr:row>2</xdr:row>
                    <xdr:rowOff>381000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FFC000"/>
  </sheetPr>
  <dimension ref="A1:L297"/>
  <sheetViews>
    <sheetView topLeftCell="A122" workbookViewId="0">
      <selection activeCell="A122" sqref="A122"/>
    </sheetView>
  </sheetViews>
  <sheetFormatPr defaultColWidth="9" defaultRowHeight="11.25"/>
  <cols>
    <col min="1" max="1" width="19.1428571428571" style="24" customWidth="1"/>
    <col min="2" max="2" width="2.71428571428571" style="24" customWidth="1"/>
    <col min="3" max="16384" width="9.14285714285714" style="24"/>
  </cols>
  <sheetData>
    <row r="1" spans="2:10">
      <c r="B1" s="24" t="s">
        <v>291</v>
      </c>
      <c r="C1" s="24" t="s">
        <v>292</v>
      </c>
      <c r="D1" s="24" t="s">
        <v>293</v>
      </c>
      <c r="J1" s="24" t="s">
        <v>35</v>
      </c>
    </row>
    <row r="2" spans="1:12">
      <c r="A2" s="177" t="s">
        <v>294</v>
      </c>
      <c r="J2" s="208" t="s">
        <v>61</v>
      </c>
      <c r="K2" s="205" t="s">
        <v>68</v>
      </c>
      <c r="L2" s="207" t="s">
        <v>75</v>
      </c>
    </row>
    <row r="3" spans="1:12">
      <c r="A3" s="177" t="s">
        <v>61</v>
      </c>
      <c r="B3" s="24">
        <f>MATCH(A3,tblIndicators!$B$2:$B$58,0)</f>
        <v>1</v>
      </c>
      <c r="C3" s="24" t="str">
        <f>INDEX(tblIndicators!$Z$2:$Z$58,$B3)</f>
        <v>TOTAL SCORE</v>
      </c>
      <c r="D3" s="24">
        <f>INDEX(tblIndicators!$D$2:$D$58,$B3)</f>
        <v>0</v>
      </c>
      <c r="J3" s="209" t="s">
        <v>64</v>
      </c>
      <c r="K3" s="207" t="s">
        <v>75</v>
      </c>
      <c r="L3" s="207" t="s">
        <v>81</v>
      </c>
    </row>
    <row r="4" spans="1:12">
      <c r="A4" s="186" t="s">
        <v>64</v>
      </c>
      <c r="B4" s="24">
        <f>MATCH(A4,tblIndicators!$B$2:$B$58,0)</f>
        <v>2</v>
      </c>
      <c r="C4" s="24" t="str">
        <f>INDEX(tblIndicators!$Z$2:$Z$58,$B4)</f>
        <v>1) DIGITAL SECURITY</v>
      </c>
      <c r="D4" s="24">
        <f>INDEX(tblIndicators!$D$2:$D$58,$B4)</f>
        <v>1</v>
      </c>
      <c r="J4" s="205" t="s">
        <v>68</v>
      </c>
      <c r="K4" s="207" t="s">
        <v>81</v>
      </c>
      <c r="L4" s="207" t="s">
        <v>86</v>
      </c>
    </row>
    <row r="5" spans="1:12">
      <c r="A5" s="186" t="s">
        <v>122</v>
      </c>
      <c r="B5" s="24">
        <f>MATCH(A5,tblIndicators!$B$2:$B$58,0)</f>
        <v>14</v>
      </c>
      <c r="C5" s="24" t="str">
        <f>INDEX(tblIndicators!$Z$2:$Z$58,$B5)</f>
        <v>2) HEALTH SECURITY</v>
      </c>
      <c r="D5" s="24">
        <f>INDEX(tblIndicators!$D$2:$D$58,$B5)</f>
        <v>1</v>
      </c>
      <c r="J5" s="207" t="s">
        <v>75</v>
      </c>
      <c r="K5" s="207" t="s">
        <v>86</v>
      </c>
      <c r="L5" s="207" t="s">
        <v>91</v>
      </c>
    </row>
    <row r="6" spans="1:12">
      <c r="A6" s="186" t="s">
        <v>179</v>
      </c>
      <c r="B6" s="24">
        <f>MATCH(A6,tblIndicators!$B$2:$B$58,0)</f>
        <v>28</v>
      </c>
      <c r="C6" s="24" t="str">
        <f>INDEX(tblIndicators!$Z$2:$Z$58,$B6)</f>
        <v>3) INFRASTRUCTURE SAFETY</v>
      </c>
      <c r="D6" s="24">
        <f>INDEX(tblIndicators!$D$2:$D$58,$B6)</f>
        <v>1</v>
      </c>
      <c r="J6" s="207" t="s">
        <v>81</v>
      </c>
      <c r="K6" s="207" t="s">
        <v>91</v>
      </c>
      <c r="L6" s="207" t="s">
        <v>95</v>
      </c>
    </row>
    <row r="7" spans="1:12">
      <c r="A7" s="186" t="s">
        <v>221</v>
      </c>
      <c r="B7" s="24">
        <f>MATCH(A7,tblIndicators!$B$2:$B$58,0)</f>
        <v>40</v>
      </c>
      <c r="C7" s="24" t="str">
        <f>INDEX(tblIndicators!$Z$2:$Z$58,$B7)</f>
        <v>4) PERSONAL SAFETY</v>
      </c>
      <c r="D7" s="24">
        <f>INDEX(tblIndicators!$D$2:$D$58,$B7)</f>
        <v>1</v>
      </c>
      <c r="J7" s="207" t="s">
        <v>86</v>
      </c>
      <c r="K7" s="207" t="s">
        <v>95</v>
      </c>
      <c r="L7" s="207" t="s">
        <v>100</v>
      </c>
    </row>
    <row r="8" spans="10:12">
      <c r="J8" s="207" t="s">
        <v>91</v>
      </c>
      <c r="K8" s="207" t="s">
        <v>100</v>
      </c>
      <c r="L8" s="207" t="s">
        <v>109</v>
      </c>
    </row>
    <row r="9" spans="1:12">
      <c r="A9" s="177" t="s">
        <v>295</v>
      </c>
      <c r="J9" s="207" t="s">
        <v>95</v>
      </c>
      <c r="K9" s="205" t="s">
        <v>104</v>
      </c>
      <c r="L9" s="207" t="s">
        <v>114</v>
      </c>
    </row>
    <row r="10" spans="1:12">
      <c r="A10" s="204" t="s">
        <v>68</v>
      </c>
      <c r="B10" s="24">
        <f>MATCH(A10,tblIndicators!$B$2:$B$58,0)</f>
        <v>3</v>
      </c>
      <c r="C10" s="24" t="str">
        <f>INDEX(tblIndicators!$Z$2:$Z$58,$B10)</f>
        <v>1.1) Digital Security (Inputs)</v>
      </c>
      <c r="D10" s="24">
        <f>INDEX(tblIndicators!$D$2:$D$58,$B10)</f>
        <v>2</v>
      </c>
      <c r="J10" s="207" t="s">
        <v>100</v>
      </c>
      <c r="K10" s="207" t="s">
        <v>109</v>
      </c>
      <c r="L10" s="207" t="s">
        <v>118</v>
      </c>
    </row>
    <row r="11" spans="1:12">
      <c r="A11" s="205" t="s">
        <v>104</v>
      </c>
      <c r="B11" s="24">
        <f>MATCH(A11,tblIndicators!$B$2:$B$58,0)</f>
        <v>10</v>
      </c>
      <c r="C11" s="24" t="str">
        <f>INDEX(tblIndicators!$Z$2:$Z$58,$B11)</f>
        <v>1.2) Digital Security (Outputs)</v>
      </c>
      <c r="D11" s="24">
        <f>INDEX(tblIndicators!$D$2:$D$58,$B11)</f>
        <v>2</v>
      </c>
      <c r="J11" s="205" t="s">
        <v>104</v>
      </c>
      <c r="K11" s="207" t="s">
        <v>114</v>
      </c>
      <c r="L11" s="207" t="s">
        <v>130</v>
      </c>
    </row>
    <row r="12" spans="1:12">
      <c r="A12" s="205" t="s">
        <v>126</v>
      </c>
      <c r="B12" s="24">
        <f>MATCH(A12,tblIndicators!$B$2:$B$58,0)</f>
        <v>15</v>
      </c>
      <c r="C12" s="24" t="str">
        <f>INDEX(tblIndicators!$Z$2:$Z$58,$B12)</f>
        <v>2.1) Health Security (Inputs)</v>
      </c>
      <c r="D12" s="24">
        <f>INDEX(tblIndicators!$D$2:$D$58,$B12)</f>
        <v>2</v>
      </c>
      <c r="J12" s="207" t="s">
        <v>109</v>
      </c>
      <c r="K12" s="207" t="s">
        <v>118</v>
      </c>
      <c r="L12" s="207" t="s">
        <v>134</v>
      </c>
    </row>
    <row r="13" spans="1:12">
      <c r="A13" s="205" t="s">
        <v>154</v>
      </c>
      <c r="B13" s="24">
        <f>MATCH(A13,tblIndicators!$B$2:$B$58,0)</f>
        <v>22</v>
      </c>
      <c r="C13" s="24" t="str">
        <f>INDEX(tblIndicators!$Z$2:$Z$58,$B13)</f>
        <v>2.2) Health Security (Outputs)</v>
      </c>
      <c r="D13" s="24">
        <f>INDEX(tblIndicators!$D$2:$D$58,$B13)</f>
        <v>2</v>
      </c>
      <c r="J13" s="207" t="s">
        <v>114</v>
      </c>
      <c r="K13" s="205" t="s">
        <v>126</v>
      </c>
      <c r="L13" s="207" t="s">
        <v>138</v>
      </c>
    </row>
    <row r="14" spans="1:12">
      <c r="A14" s="205" t="s">
        <v>182</v>
      </c>
      <c r="B14" s="24">
        <f>MATCH(A14,tblIndicators!$B$2:$B$58,0)</f>
        <v>29</v>
      </c>
      <c r="C14" s="24" t="str">
        <f>INDEX(tblIndicators!$Z$2:$Z$58,$B14)</f>
        <v>3.1) Infrastructure Safety (Inputs)</v>
      </c>
      <c r="D14" s="24">
        <f>INDEX(tblIndicators!$D$2:$D$58,$B14)</f>
        <v>2</v>
      </c>
      <c r="J14" s="207" t="s">
        <v>118</v>
      </c>
      <c r="K14" s="207" t="s">
        <v>130</v>
      </c>
      <c r="L14" s="207" t="s">
        <v>143</v>
      </c>
    </row>
    <row r="15" spans="1:12">
      <c r="A15" s="205" t="s">
        <v>202</v>
      </c>
      <c r="B15" s="24">
        <f>MATCH(A15,tblIndicators!$B$2:$B$58,0)</f>
        <v>35</v>
      </c>
      <c r="C15" s="24" t="str">
        <f>INDEX(tblIndicators!$Z$2:$Z$58,$B15)</f>
        <v>3.2) Infrastructure Safety (Outputs)</v>
      </c>
      <c r="D15" s="24">
        <f>INDEX(tblIndicators!$D$2:$D$58,$B15)</f>
        <v>2</v>
      </c>
      <c r="J15" s="209" t="s">
        <v>122</v>
      </c>
      <c r="K15" s="207" t="s">
        <v>134</v>
      </c>
      <c r="L15" s="207" t="s">
        <v>146</v>
      </c>
    </row>
    <row r="16" spans="1:12">
      <c r="A16" s="205" t="s">
        <v>224</v>
      </c>
      <c r="B16" s="24">
        <f>MATCH(A16,tblIndicators!$B$2:$B$58,0)</f>
        <v>41</v>
      </c>
      <c r="C16" s="24" t="str">
        <f>INDEX(tblIndicators!$Z$2:$Z$58,$B16)</f>
        <v>4.1) Personal Safety (Inputs)</v>
      </c>
      <c r="D16" s="24">
        <f>INDEX(tblIndicators!$D$2:$D$58,$B16)</f>
        <v>2</v>
      </c>
      <c r="J16" s="205" t="s">
        <v>126</v>
      </c>
      <c r="K16" s="207" t="s">
        <v>138</v>
      </c>
      <c r="L16" s="207" t="s">
        <v>150</v>
      </c>
    </row>
    <row r="17" spans="1:12">
      <c r="A17" s="205" t="s">
        <v>255</v>
      </c>
      <c r="B17" s="24">
        <f>MATCH(A17,tblIndicators!$B$2:$B$58,0)</f>
        <v>49</v>
      </c>
      <c r="C17" s="24" t="str">
        <f>INDEX(tblIndicators!$Z$2:$Z$58,$B17)</f>
        <v>4.2) Personal Safety (Outputs)</v>
      </c>
      <c r="D17" s="24">
        <f>INDEX(tblIndicators!$D$2:$D$58,$B17)</f>
        <v>2</v>
      </c>
      <c r="J17" s="207" t="s">
        <v>130</v>
      </c>
      <c r="K17" s="207" t="s">
        <v>143</v>
      </c>
      <c r="L17" s="207" t="s">
        <v>158</v>
      </c>
    </row>
    <row r="18" spans="1:12">
      <c r="A18" s="186"/>
      <c r="J18" s="207" t="s">
        <v>134</v>
      </c>
      <c r="K18" s="207" t="s">
        <v>146</v>
      </c>
      <c r="L18" s="207" t="s">
        <v>162</v>
      </c>
    </row>
    <row r="19" spans="1:12">
      <c r="A19" s="206" t="s">
        <v>296</v>
      </c>
      <c r="J19" s="207" t="s">
        <v>138</v>
      </c>
      <c r="K19" s="207" t="s">
        <v>150</v>
      </c>
      <c r="L19" s="207" t="s">
        <v>165</v>
      </c>
    </row>
    <row r="20" spans="1:12">
      <c r="A20" s="205" t="s">
        <v>68</v>
      </c>
      <c r="B20" s="24">
        <f>MATCH(A20,tblIndicators!$B$2:$B$58,0)</f>
        <v>3</v>
      </c>
      <c r="C20" s="24" t="str">
        <f>INDEX(tblIndicators!$Z$2:$Z$58,$B20)</f>
        <v>1.1) Digital Security (Inputs)</v>
      </c>
      <c r="D20" s="24">
        <f>INDEX(tblIndicators!$D$2:$D$58,$B20)</f>
        <v>2</v>
      </c>
      <c r="J20" s="207" t="s">
        <v>143</v>
      </c>
      <c r="K20" s="205" t="s">
        <v>154</v>
      </c>
      <c r="L20" s="207" t="s">
        <v>170</v>
      </c>
    </row>
    <row r="21" spans="1:12">
      <c r="A21" s="207" t="s">
        <v>75</v>
      </c>
      <c r="B21" s="24">
        <f>MATCH(A21,tblIndicators!$B$2:$B$58,0)</f>
        <v>4</v>
      </c>
      <c r="C21" s="24" t="str">
        <f>INDEX(tblIndicators!$Z$2:$Z$58,$B21)</f>
        <v>1.1.1) Privacy policy</v>
      </c>
      <c r="D21" s="24">
        <f>INDEX(tblIndicators!$D$2:$D$58,$B21)</f>
        <v>3</v>
      </c>
      <c r="J21" s="207" t="s">
        <v>146</v>
      </c>
      <c r="K21" s="207" t="s">
        <v>158</v>
      </c>
      <c r="L21" s="207" t="s">
        <v>174</v>
      </c>
    </row>
    <row r="22" spans="1:12">
      <c r="A22" s="207" t="s">
        <v>81</v>
      </c>
      <c r="B22" s="24">
        <f>MATCH(A22,tblIndicators!$B$2:$B$58,0)</f>
        <v>5</v>
      </c>
      <c r="C22" s="24" t="str">
        <f>INDEX(tblIndicators!$Z$2:$Z$58,$B22)</f>
        <v>1.1.2) Citizen awareness of digital threats</v>
      </c>
      <c r="D22" s="24">
        <f>INDEX(tblIndicators!$D$2:$D$58,$B22)</f>
        <v>3</v>
      </c>
      <c r="J22" s="207" t="s">
        <v>150</v>
      </c>
      <c r="K22" s="207" t="s">
        <v>162</v>
      </c>
      <c r="L22" s="207" t="s">
        <v>186</v>
      </c>
    </row>
    <row r="23" spans="1:12">
      <c r="A23" s="207" t="s">
        <v>86</v>
      </c>
      <c r="B23" s="24">
        <f>MATCH(A23,tblIndicators!$B$2:$B$58,0)</f>
        <v>6</v>
      </c>
      <c r="C23" s="24" t="str">
        <f>INDEX(tblIndicators!$Z$2:$Z$58,$B23)</f>
        <v>1.1.3) City reliance on digital infrastructure</v>
      </c>
      <c r="D23" s="24">
        <f>INDEX(tblIndicators!$D$2:$D$58,$B23)</f>
        <v>3</v>
      </c>
      <c r="J23" s="205" t="s">
        <v>154</v>
      </c>
      <c r="K23" s="207" t="s">
        <v>165</v>
      </c>
      <c r="L23" s="207" t="s">
        <v>190</v>
      </c>
    </row>
    <row r="24" spans="1:12">
      <c r="A24" s="207" t="s">
        <v>91</v>
      </c>
      <c r="B24" s="24">
        <f>MATCH(A24,tblIndicators!$B$2:$B$58,0)</f>
        <v>7</v>
      </c>
      <c r="C24" s="24" t="str">
        <f>INDEX(tblIndicators!$Z$2:$Z$58,$B24)</f>
        <v>1.1.4) Public-private partnerships</v>
      </c>
      <c r="D24" s="24">
        <f>INDEX(tblIndicators!$D$2:$D$58,$B24)</f>
        <v>3</v>
      </c>
      <c r="J24" s="207" t="s">
        <v>158</v>
      </c>
      <c r="K24" s="207" t="s">
        <v>170</v>
      </c>
      <c r="L24" s="207" t="s">
        <v>193</v>
      </c>
    </row>
    <row r="25" spans="1:12">
      <c r="A25" s="207" t="s">
        <v>95</v>
      </c>
      <c r="B25" s="24">
        <f>MATCH(A25,tblIndicators!$B$2:$B$58,0)</f>
        <v>8</v>
      </c>
      <c r="C25" s="24" t="str">
        <f>INDEX(tblIndicators!$Z$2:$Z$58,$B25)</f>
        <v>1.1.5) Level of technology employed</v>
      </c>
      <c r="D25" s="24">
        <f>INDEX(tblIndicators!$D$2:$D$58,$B25)</f>
        <v>3</v>
      </c>
      <c r="J25" s="207" t="s">
        <v>162</v>
      </c>
      <c r="K25" s="207" t="s">
        <v>174</v>
      </c>
      <c r="L25" s="207" t="s">
        <v>196</v>
      </c>
    </row>
    <row r="26" spans="1:12">
      <c r="A26" s="207" t="s">
        <v>100</v>
      </c>
      <c r="B26" s="24">
        <f>MATCH(A26,tblIndicators!$B$2:$B$58,0)</f>
        <v>9</v>
      </c>
      <c r="C26" s="24" t="str">
        <f>INDEX(tblIndicators!$Z$2:$Z$58,$B26)</f>
        <v>1.1.6) Dedicated cyber security teams</v>
      </c>
      <c r="D26" s="24">
        <f>INDEX(tblIndicators!$D$2:$D$58,$B26)</f>
        <v>3</v>
      </c>
      <c r="J26" s="207" t="s">
        <v>165</v>
      </c>
      <c r="K26" s="205" t="s">
        <v>182</v>
      </c>
      <c r="L26" s="207" t="s">
        <v>199</v>
      </c>
    </row>
    <row r="27" spans="1:12">
      <c r="A27" s="205" t="s">
        <v>104</v>
      </c>
      <c r="B27" s="24">
        <f>MATCH(A27,tblIndicators!$B$2:$B$58,0)</f>
        <v>10</v>
      </c>
      <c r="C27" s="24" t="str">
        <f>INDEX(tblIndicators!$Z$2:$Z$58,$B27)</f>
        <v>1.2) Digital Security (Outputs)</v>
      </c>
      <c r="D27" s="24">
        <f>INDEX(tblIndicators!$D$2:$D$58,$B27)</f>
        <v>2</v>
      </c>
      <c r="J27" s="207" t="s">
        <v>170</v>
      </c>
      <c r="K27" s="207" t="s">
        <v>186</v>
      </c>
      <c r="L27" s="207" t="s">
        <v>206</v>
      </c>
    </row>
    <row r="28" spans="1:12">
      <c r="A28" s="207" t="s">
        <v>109</v>
      </c>
      <c r="B28" s="24">
        <f>MATCH(A28,tblIndicators!$B$2:$B$58,0)</f>
        <v>11</v>
      </c>
      <c r="C28" s="24" t="str">
        <f>INDEX(tblIndicators!$Z$2:$Z$58,$B28)</f>
        <v>1.2.1) Frequency of identity theft</v>
      </c>
      <c r="D28" s="24">
        <f>INDEX(tblIndicators!$D$2:$D$58,$B28)</f>
        <v>3</v>
      </c>
      <c r="J28" s="207" t="s">
        <v>174</v>
      </c>
      <c r="K28" s="207" t="s">
        <v>190</v>
      </c>
      <c r="L28" s="207" t="s">
        <v>211</v>
      </c>
    </row>
    <row r="29" spans="1:12">
      <c r="A29" s="207" t="s">
        <v>114</v>
      </c>
      <c r="B29" s="24">
        <f>MATCH(A29,tblIndicators!$B$2:$B$58,0)</f>
        <v>12</v>
      </c>
      <c r="C29" s="24" t="str">
        <f>INDEX(tblIndicators!$Z$2:$Z$58,$B29)</f>
        <v>1.2.2) Precentage of computers infected</v>
      </c>
      <c r="D29" s="24">
        <f>INDEX(tblIndicators!$D$2:$D$58,$B29)</f>
        <v>3</v>
      </c>
      <c r="J29" s="209" t="s">
        <v>179</v>
      </c>
      <c r="K29" s="207" t="s">
        <v>193</v>
      </c>
      <c r="L29" s="207" t="s">
        <v>215</v>
      </c>
    </row>
    <row r="30" spans="1:12">
      <c r="A30" s="207" t="s">
        <v>118</v>
      </c>
      <c r="B30" s="24">
        <f>MATCH(A30,tblIndicators!$B$2:$B$58,0)</f>
        <v>13</v>
      </c>
      <c r="C30" s="24" t="str">
        <f>INDEX(tblIndicators!$Z$2:$Z$58,$B30)</f>
        <v>1.2.3) Percent with internet access</v>
      </c>
      <c r="D30" s="24">
        <f>INDEX(tblIndicators!$D$2:$D$58,$B30)</f>
        <v>3</v>
      </c>
      <c r="J30" s="205" t="s">
        <v>182</v>
      </c>
      <c r="K30" s="207" t="s">
        <v>196</v>
      </c>
      <c r="L30" s="207" t="s">
        <v>218</v>
      </c>
    </row>
    <row r="31" spans="1:12">
      <c r="A31" s="205" t="s">
        <v>126</v>
      </c>
      <c r="B31" s="24">
        <f>MATCH(A31,tblIndicators!$B$2:$B$58,0)</f>
        <v>15</v>
      </c>
      <c r="C31" s="24" t="str">
        <f>INDEX(tblIndicators!$Z$2:$Z$58,$B31)</f>
        <v>2.1) Health Security (Inputs)</v>
      </c>
      <c r="D31" s="24">
        <f>INDEX(tblIndicators!$D$2:$D$58,$B31)</f>
        <v>2</v>
      </c>
      <c r="J31" s="207" t="s">
        <v>186</v>
      </c>
      <c r="K31" s="207" t="s">
        <v>199</v>
      </c>
      <c r="L31" s="207" t="s">
        <v>228</v>
      </c>
    </row>
    <row r="32" spans="1:12">
      <c r="A32" s="207" t="s">
        <v>130</v>
      </c>
      <c r="B32" s="24">
        <f>MATCH(A32,tblIndicators!$B$2:$B$58,0)</f>
        <v>16</v>
      </c>
      <c r="C32" s="24" t="str">
        <f>INDEX(tblIndicators!$Z$2:$Z$58,$B32)</f>
        <v>2.1.1) Environmental policies</v>
      </c>
      <c r="D32" s="24">
        <f>INDEX(tblIndicators!$D$2:$D$58,$B32)</f>
        <v>3</v>
      </c>
      <c r="J32" s="207" t="s">
        <v>190</v>
      </c>
      <c r="K32" s="205" t="s">
        <v>202</v>
      </c>
      <c r="L32" s="207" t="s">
        <v>233</v>
      </c>
    </row>
    <row r="33" spans="1:12">
      <c r="A33" s="207" t="s">
        <v>134</v>
      </c>
      <c r="B33" s="24">
        <f>MATCH(A33,tblIndicators!$B$2:$B$58,0)</f>
        <v>17</v>
      </c>
      <c r="C33" s="24" t="str">
        <f>INDEX(tblIndicators!$Z$2:$Z$58,$B33)</f>
        <v>2.1.2) Access to healthcare</v>
      </c>
      <c r="D33" s="24">
        <f>INDEX(tblIndicators!$D$2:$D$58,$B33)</f>
        <v>3</v>
      </c>
      <c r="J33" s="207" t="s">
        <v>193</v>
      </c>
      <c r="K33" s="207" t="s">
        <v>206</v>
      </c>
      <c r="L33" s="207" t="s">
        <v>238</v>
      </c>
    </row>
    <row r="34" spans="1:12">
      <c r="A34" s="207" t="s">
        <v>138</v>
      </c>
      <c r="B34" s="24">
        <f>MATCH(A34,tblIndicators!$B$2:$B$58,0)</f>
        <v>18</v>
      </c>
      <c r="C34" s="24" t="str">
        <f>INDEX(tblIndicators!$Z$2:$Z$58,$B34)</f>
        <v>2.1.3) No. of beds per 1000</v>
      </c>
      <c r="D34" s="24">
        <f>INDEX(tblIndicators!$D$2:$D$58,$B34)</f>
        <v>3</v>
      </c>
      <c r="J34" s="207" t="s">
        <v>196</v>
      </c>
      <c r="K34" s="207" t="s">
        <v>211</v>
      </c>
      <c r="L34" s="207" t="s">
        <v>241</v>
      </c>
    </row>
    <row r="35" spans="1:12">
      <c r="A35" s="207" t="s">
        <v>143</v>
      </c>
      <c r="B35" s="24">
        <f>MATCH(A35,tblIndicators!$B$2:$B$58,0)</f>
        <v>19</v>
      </c>
      <c r="C35" s="24" t="str">
        <f>INDEX(tblIndicators!$Z$2:$Z$58,$B35)</f>
        <v>2.1.4) Number of doctors per 1000</v>
      </c>
      <c r="D35" s="24">
        <f>INDEX(tblIndicators!$D$2:$D$58,$B35)</f>
        <v>3</v>
      </c>
      <c r="J35" s="207" t="s">
        <v>199</v>
      </c>
      <c r="K35" s="207" t="s">
        <v>215</v>
      </c>
      <c r="L35" s="207" t="s">
        <v>244</v>
      </c>
    </row>
    <row r="36" spans="1:12">
      <c r="A36" s="207" t="s">
        <v>146</v>
      </c>
      <c r="B36" s="24">
        <f>MATCH(A36,tblIndicators!$B$2:$B$58,0)</f>
        <v>20</v>
      </c>
      <c r="C36" s="24" t="str">
        <f>INDEX(tblIndicators!$Z$2:$Z$58,$B36)</f>
        <v>2.1.5) Access to safe and quality food</v>
      </c>
      <c r="D36" s="24">
        <f>INDEX(tblIndicators!$D$2:$D$58,$B36)</f>
        <v>3</v>
      </c>
      <c r="J36" s="205" t="s">
        <v>202</v>
      </c>
      <c r="K36" s="207" t="s">
        <v>218</v>
      </c>
      <c r="L36" s="207" t="s">
        <v>247</v>
      </c>
    </row>
    <row r="37" spans="1:12">
      <c r="A37" s="207" t="s">
        <v>150</v>
      </c>
      <c r="B37" s="24">
        <f>MATCH(A37,tblIndicators!$B$2:$B$58,0)</f>
        <v>21</v>
      </c>
      <c r="C37" s="24" t="str">
        <f>INDEX(tblIndicators!$Z$2:$Z$58,$B37)</f>
        <v>2.1.6) Quality of health services</v>
      </c>
      <c r="D37" s="24">
        <f>INDEX(tblIndicators!$D$2:$D$58,$B37)</f>
        <v>3</v>
      </c>
      <c r="J37" s="207" t="s">
        <v>206</v>
      </c>
      <c r="K37" s="205" t="s">
        <v>224</v>
      </c>
      <c r="L37" s="207" t="s">
        <v>251</v>
      </c>
    </row>
    <row r="38" spans="1:12">
      <c r="A38" s="205" t="s">
        <v>154</v>
      </c>
      <c r="B38" s="24">
        <f>MATCH(A38,tblIndicators!$B$2:$B$58,0)</f>
        <v>22</v>
      </c>
      <c r="C38" s="24" t="str">
        <f>INDEX(tblIndicators!$Z$2:$Z$58,$B38)</f>
        <v>2.2) Health Security (Outputs)</v>
      </c>
      <c r="D38" s="24">
        <f>INDEX(tblIndicators!$D$2:$D$58,$B38)</f>
        <v>2</v>
      </c>
      <c r="J38" s="207" t="s">
        <v>211</v>
      </c>
      <c r="K38" s="207" t="s">
        <v>228</v>
      </c>
      <c r="L38" s="207" t="s">
        <v>259</v>
      </c>
    </row>
    <row r="39" spans="1:12">
      <c r="A39" s="207" t="s">
        <v>158</v>
      </c>
      <c r="B39" s="24">
        <f>MATCH(A39,tblIndicators!$B$2:$B$58,0)</f>
        <v>23</v>
      </c>
      <c r="C39" s="24" t="str">
        <f>INDEX(tblIndicators!$Z$2:$Z$58,$B39)</f>
        <v>2.2.1) Air quality</v>
      </c>
      <c r="D39" s="24">
        <f>INDEX(tblIndicators!$D$2:$D$58,$B39)</f>
        <v>3</v>
      </c>
      <c r="J39" s="207" t="s">
        <v>215</v>
      </c>
      <c r="K39" s="207" t="s">
        <v>233</v>
      </c>
      <c r="L39" s="207" t="s">
        <v>263</v>
      </c>
    </row>
    <row r="40" spans="1:12">
      <c r="A40" s="207" t="s">
        <v>162</v>
      </c>
      <c r="B40" s="24">
        <f>MATCH(A40,tblIndicators!$B$2:$B$58,0)</f>
        <v>24</v>
      </c>
      <c r="C40" s="24" t="str">
        <f>INDEX(tblIndicators!$Z$2:$Z$58,$B40)</f>
        <v>2.2.2) Water quality</v>
      </c>
      <c r="D40" s="24">
        <f>INDEX(tblIndicators!$D$2:$D$58,$B40)</f>
        <v>3</v>
      </c>
      <c r="J40" s="207" t="s">
        <v>218</v>
      </c>
      <c r="K40" s="207" t="s">
        <v>238</v>
      </c>
      <c r="L40" s="207" t="s">
        <v>266</v>
      </c>
    </row>
    <row r="41" spans="1:12">
      <c r="A41" s="207" t="s">
        <v>165</v>
      </c>
      <c r="B41" s="24">
        <f>MATCH(A41,tblIndicators!$B$2:$B$58,0)</f>
        <v>25</v>
      </c>
      <c r="C41" s="24" t="str">
        <f>INDEX(tblIndicators!$Z$2:$Z$58,$B41)</f>
        <v>2.2.3) Life expectancy</v>
      </c>
      <c r="D41" s="24">
        <f>INDEX(tblIndicators!$D$2:$D$58,$B41)</f>
        <v>3</v>
      </c>
      <c r="J41" s="209" t="s">
        <v>221</v>
      </c>
      <c r="K41" s="207" t="s">
        <v>241</v>
      </c>
      <c r="L41" s="207" t="s">
        <v>271</v>
      </c>
    </row>
    <row r="42" spans="1:12">
      <c r="A42" s="207" t="s">
        <v>170</v>
      </c>
      <c r="B42" s="24">
        <f>MATCH(A42,tblIndicators!$B$2:$B$58,0)</f>
        <v>26</v>
      </c>
      <c r="C42" s="24" t="str">
        <f>INDEX(tblIndicators!$Z$2:$Z$58,$B42)</f>
        <v>2.2.4) Infant mortality (deaths per 1,000 live births)</v>
      </c>
      <c r="D42" s="24">
        <f>INDEX(tblIndicators!$D$2:$D$58,$B42)</f>
        <v>3</v>
      </c>
      <c r="J42" s="205" t="s">
        <v>224</v>
      </c>
      <c r="K42" s="207" t="s">
        <v>244</v>
      </c>
      <c r="L42" s="207" t="s">
        <v>274</v>
      </c>
    </row>
    <row r="43" spans="1:12">
      <c r="A43" s="207" t="s">
        <v>174</v>
      </c>
      <c r="B43" s="24">
        <f>MATCH(A43,tblIndicators!$B$2:$B$58,0)</f>
        <v>27</v>
      </c>
      <c r="C43" s="24" t="str">
        <f>INDEX(tblIndicators!$Z$2:$Z$58,$B43)</f>
        <v>2.2.5) Cancer mortality rate ( Cancer deaths per 100,000)</v>
      </c>
      <c r="D43" s="24">
        <f>INDEX(tblIndicators!$D$2:$D$58,$B43)</f>
        <v>3</v>
      </c>
      <c r="J43" s="207" t="s">
        <v>228</v>
      </c>
      <c r="K43" s="207" t="s">
        <v>247</v>
      </c>
      <c r="L43" s="207" t="s">
        <v>277</v>
      </c>
    </row>
    <row r="44" spans="1:12">
      <c r="A44" s="205" t="s">
        <v>182</v>
      </c>
      <c r="B44" s="24">
        <f>MATCH(A44,tblIndicators!$B$2:$B$58,0)</f>
        <v>29</v>
      </c>
      <c r="C44" s="24" t="str">
        <f>INDEX(tblIndicators!$Z$2:$Z$58,$B44)</f>
        <v>3.1) Infrastructure Safety (Inputs)</v>
      </c>
      <c r="D44" s="24">
        <f>INDEX(tblIndicators!$D$2:$D$58,$B44)</f>
        <v>2</v>
      </c>
      <c r="J44" s="207" t="s">
        <v>233</v>
      </c>
      <c r="K44" s="207" t="s">
        <v>251</v>
      </c>
      <c r="L44" s="207" t="s">
        <v>282</v>
      </c>
    </row>
    <row r="45" spans="1:12">
      <c r="A45" s="207" t="s">
        <v>186</v>
      </c>
      <c r="B45" s="24">
        <f>MATCH(A45,tblIndicators!$B$2:$B$58,0)</f>
        <v>30</v>
      </c>
      <c r="C45" s="24" t="str">
        <f>INDEX(tblIndicators!$Z$2:$Z$58,$B45)</f>
        <v>3.1.1) Enforcement of transport safety</v>
      </c>
      <c r="D45" s="24">
        <f>INDEX(tblIndicators!$D$2:$D$58,$B45)</f>
        <v>3</v>
      </c>
      <c r="J45" s="207" t="s">
        <v>238</v>
      </c>
      <c r="K45" s="205" t="s">
        <v>255</v>
      </c>
      <c r="L45" s="207" t="s">
        <v>287</v>
      </c>
    </row>
    <row r="46" spans="1:11">
      <c r="A46" s="207" t="s">
        <v>190</v>
      </c>
      <c r="B46" s="24">
        <f>MATCH(A46,tblIndicators!$B$2:$B$58,0)</f>
        <v>31</v>
      </c>
      <c r="C46" s="24" t="str">
        <f>INDEX(tblIndicators!$Z$2:$Z$58,$B46)</f>
        <v>3.1.2) Pedestrian friendliness</v>
      </c>
      <c r="D46" s="24">
        <f>INDEX(tblIndicators!$D$2:$D$58,$B46)</f>
        <v>3</v>
      </c>
      <c r="J46" s="207" t="s">
        <v>241</v>
      </c>
      <c r="K46" s="207" t="s">
        <v>259</v>
      </c>
    </row>
    <row r="47" spans="1:11">
      <c r="A47" s="207" t="s">
        <v>193</v>
      </c>
      <c r="B47" s="24">
        <f>MATCH(A47,tblIndicators!$B$2:$B$58,0)</f>
        <v>32</v>
      </c>
      <c r="C47" s="24" t="str">
        <f>INDEX(tblIndicators!$Z$2:$Z$58,$B47)</f>
        <v>3.1.3) Quality of road infrastructure</v>
      </c>
      <c r="D47" s="24">
        <f>INDEX(tblIndicators!$D$2:$D$58,$B47)</f>
        <v>3</v>
      </c>
      <c r="J47" s="207" t="s">
        <v>244</v>
      </c>
      <c r="K47" s="207" t="s">
        <v>263</v>
      </c>
    </row>
    <row r="48" spans="1:11">
      <c r="A48" s="207" t="s">
        <v>196</v>
      </c>
      <c r="B48" s="24">
        <f>MATCH(A48,tblIndicators!$B$2:$B$58,0)</f>
        <v>33</v>
      </c>
      <c r="C48" s="24" t="str">
        <f>INDEX(tblIndicators!$Z$2:$Z$58,$B48)</f>
        <v>3.1.4) Quality of electricity infrastructure</v>
      </c>
      <c r="D48" s="24">
        <f>INDEX(tblIndicators!$D$2:$D$58,$B48)</f>
        <v>3</v>
      </c>
      <c r="J48" s="207" t="s">
        <v>247</v>
      </c>
      <c r="K48" s="207" t="s">
        <v>266</v>
      </c>
    </row>
    <row r="49" spans="1:11">
      <c r="A49" s="207" t="s">
        <v>199</v>
      </c>
      <c r="B49" s="24">
        <f>MATCH(A49,tblIndicators!$B$2:$B$58,0)</f>
        <v>34</v>
      </c>
      <c r="C49" s="24" t="str">
        <f>INDEX(tblIndicators!$Z$2:$Z$58,$B49)</f>
        <v>3.1.5) Disaster Management/Business Continuity Plan</v>
      </c>
      <c r="D49" s="24">
        <f>INDEX(tblIndicators!$D$2:$D$58,$B49)</f>
        <v>3</v>
      </c>
      <c r="J49" s="207" t="s">
        <v>251</v>
      </c>
      <c r="K49" s="207" t="s">
        <v>271</v>
      </c>
    </row>
    <row r="50" spans="1:11">
      <c r="A50" s="205" t="s">
        <v>202</v>
      </c>
      <c r="B50" s="24">
        <f>MATCH(A50,tblIndicators!$B$2:$B$58,0)</f>
        <v>35</v>
      </c>
      <c r="C50" s="24" t="str">
        <f>INDEX(tblIndicators!$Z$2:$Z$58,$B50)</f>
        <v>3.2) Infrastructure Safety (Outputs)</v>
      </c>
      <c r="D50" s="24">
        <f>INDEX(tblIndicators!$D$2:$D$58,$B50)</f>
        <v>2</v>
      </c>
      <c r="J50" s="205" t="s">
        <v>255</v>
      </c>
      <c r="K50" s="207" t="s">
        <v>274</v>
      </c>
    </row>
    <row r="51" spans="1:11">
      <c r="A51" s="207" t="s">
        <v>206</v>
      </c>
      <c r="B51" s="24">
        <f>MATCH(A51,tblIndicators!$B$2:$B$58,0)</f>
        <v>36</v>
      </c>
      <c r="C51" s="24" t="str">
        <f>INDEX(tblIndicators!$Z$2:$Z$58,$B51)</f>
        <v>3.2.1) Death from natural disasters</v>
      </c>
      <c r="D51" s="24">
        <f>INDEX(tblIndicators!$D$2:$D$58,$B51)</f>
        <v>3</v>
      </c>
      <c r="J51" s="207" t="s">
        <v>259</v>
      </c>
      <c r="K51" s="207" t="s">
        <v>277</v>
      </c>
    </row>
    <row r="52" spans="1:11">
      <c r="A52" s="207" t="s">
        <v>211</v>
      </c>
      <c r="B52" s="24">
        <f>MATCH(A52,tblIndicators!$B$2:$B$58,0)</f>
        <v>37</v>
      </c>
      <c r="C52" s="24" t="str">
        <f>INDEX(tblIndicators!$Z$2:$Z$58,$B52)</f>
        <v>3.2.2) Frequency of vehicular accidents</v>
      </c>
      <c r="D52" s="24">
        <f>INDEX(tblIndicators!$D$2:$D$58,$B52)</f>
        <v>3</v>
      </c>
      <c r="J52" s="207" t="s">
        <v>263</v>
      </c>
      <c r="K52" s="207" t="s">
        <v>282</v>
      </c>
    </row>
    <row r="53" spans="1:11">
      <c r="A53" s="207" t="s">
        <v>215</v>
      </c>
      <c r="B53" s="24">
        <f>MATCH(A53,tblIndicators!$B$2:$B$58,0)</f>
        <v>38</v>
      </c>
      <c r="C53" s="24" t="str">
        <f>INDEX(tblIndicators!$Z$2:$Z$58,$B53)</f>
        <v>3.2.3) Frequency of pedestrian deaths</v>
      </c>
      <c r="D53" s="24">
        <f>INDEX(tblIndicators!$D$2:$D$58,$B53)</f>
        <v>3</v>
      </c>
      <c r="J53" s="207" t="s">
        <v>266</v>
      </c>
      <c r="K53" s="207" t="s">
        <v>287</v>
      </c>
    </row>
    <row r="54" spans="1:10">
      <c r="A54" s="207" t="s">
        <v>218</v>
      </c>
      <c r="B54" s="24">
        <f>MATCH(A54,tblIndicators!$B$2:$B$58,0)</f>
        <v>39</v>
      </c>
      <c r="C54" s="24" t="str">
        <f>INDEX(tblIndicators!$Z$2:$Z$58,$B54)</f>
        <v>3.2.4) Percent living in urban slums</v>
      </c>
      <c r="D54" s="24">
        <f>INDEX(tblIndicators!$D$2:$D$58,$B54)</f>
        <v>3</v>
      </c>
      <c r="J54" s="207" t="s">
        <v>271</v>
      </c>
    </row>
    <row r="55" spans="1:10">
      <c r="A55" s="205" t="s">
        <v>224</v>
      </c>
      <c r="B55" s="24">
        <f>MATCH(A55,tblIndicators!$B$2:$B$58,0)</f>
        <v>41</v>
      </c>
      <c r="C55" s="24" t="str">
        <f>INDEX(tblIndicators!$Z$2:$Z$58,$B55)</f>
        <v>4.1) Personal Safety (Inputs)</v>
      </c>
      <c r="D55" s="24">
        <f>INDEX(tblIndicators!$D$2:$D$58,$B55)</f>
        <v>2</v>
      </c>
      <c r="J55" s="207" t="s">
        <v>274</v>
      </c>
    </row>
    <row r="56" spans="1:10">
      <c r="A56" s="207" t="s">
        <v>228</v>
      </c>
      <c r="B56" s="24">
        <f>MATCH(A56,tblIndicators!$B$2:$B$58,0)</f>
        <v>42</v>
      </c>
      <c r="C56" s="24" t="str">
        <f>INDEX(tblIndicators!$Z$2:$Z$58,$B56)</f>
        <v>4.1.1) Level of police engagement</v>
      </c>
      <c r="D56" s="24">
        <f>INDEX(tblIndicators!$D$2:$D$58,$B56)</f>
        <v>3</v>
      </c>
      <c r="J56" s="207" t="s">
        <v>277</v>
      </c>
    </row>
    <row r="57" spans="1:10">
      <c r="A57" s="207" t="s">
        <v>233</v>
      </c>
      <c r="B57" s="24">
        <f>MATCH(A57,tblIndicators!$B$2:$B$58,0)</f>
        <v>43</v>
      </c>
      <c r="C57" s="24" t="str">
        <f>INDEX(tblIndicators!$Z$2:$Z$58,$B57)</f>
        <v>4.1.2) Community-based patrolling</v>
      </c>
      <c r="D57" s="24">
        <f>INDEX(tblIndicators!$D$2:$D$58,$B57)</f>
        <v>3</v>
      </c>
      <c r="J57" s="207" t="s">
        <v>282</v>
      </c>
    </row>
    <row r="58" spans="1:10">
      <c r="A58" s="207" t="s">
        <v>238</v>
      </c>
      <c r="B58" s="24">
        <f>MATCH(A58,tblIndicators!$B$2:$B$58,0)</f>
        <v>44</v>
      </c>
      <c r="C58" s="24" t="str">
        <f>INDEX(tblIndicators!$Z$2:$Z$58,$B58)</f>
        <v>4.1.3) Availability of street-level crime data</v>
      </c>
      <c r="D58" s="24">
        <f>INDEX(tblIndicators!$D$2:$D$58,$B58)</f>
        <v>3</v>
      </c>
      <c r="J58" s="207" t="s">
        <v>287</v>
      </c>
    </row>
    <row r="59" spans="1:10">
      <c r="A59" s="207" t="s">
        <v>241</v>
      </c>
      <c r="B59" s="24">
        <f>MATCH(A59,tblIndicators!$B$2:$B$58,0)</f>
        <v>45</v>
      </c>
      <c r="C59" s="24" t="str">
        <f>INDEX(tblIndicators!$Z$2:$Z$58,$B59)</f>
        <v>4.1.4) Use of data-driven techniques for crime</v>
      </c>
      <c r="D59" s="24">
        <f>INDEX(tblIndicators!$D$2:$D$58,$B59)</f>
        <v>3</v>
      </c>
      <c r="J59" s="207"/>
    </row>
    <row r="60" spans="1:10">
      <c r="A60" s="207" t="s">
        <v>244</v>
      </c>
      <c r="B60" s="24">
        <f>MATCH(A60,tblIndicators!$B$2:$B$58,0)</f>
        <v>46</v>
      </c>
      <c r="C60" s="24" t="str">
        <f>INDEX(tblIndicators!$Z$2:$Z$58,$B60)</f>
        <v>4.1.5) Private security measures</v>
      </c>
      <c r="D60" s="24">
        <f>INDEX(tblIndicators!$D$2:$D$58,$B60)</f>
        <v>3</v>
      </c>
      <c r="J60" s="207"/>
    </row>
    <row r="61" spans="1:4">
      <c r="A61" s="207" t="s">
        <v>247</v>
      </c>
      <c r="B61" s="24">
        <f>MATCH(A61,tblIndicators!$B$2:$B$58,0)</f>
        <v>47</v>
      </c>
      <c r="C61" s="24" t="str">
        <f>INDEX(tblIndicators!$Z$2:$Z$58,$B61)</f>
        <v>4.1.6) Gun regulation and enforcement</v>
      </c>
      <c r="D61" s="24">
        <f>INDEX(tblIndicators!$D$2:$D$58,$B61)</f>
        <v>3</v>
      </c>
    </row>
    <row r="62" spans="1:4">
      <c r="A62" s="207" t="s">
        <v>251</v>
      </c>
      <c r="B62" s="24">
        <f>MATCH(A62,tblIndicators!$B$2:$B$58,0)</f>
        <v>48</v>
      </c>
      <c r="C62" s="24" t="str">
        <f>INDEX(tblIndicators!$Z$2:$Z$58,$B62)</f>
        <v>4.1.7) Political Stability Risk</v>
      </c>
      <c r="D62" s="24">
        <f>INDEX(tblIndicators!$D$2:$D$58,$B62)</f>
        <v>3</v>
      </c>
    </row>
    <row r="63" spans="1:4">
      <c r="A63" s="205" t="s">
        <v>255</v>
      </c>
      <c r="B63" s="24">
        <f>MATCH(A63,tblIndicators!$B$2:$B$58,0)</f>
        <v>49</v>
      </c>
      <c r="C63" s="24" t="str">
        <f>INDEX(tblIndicators!$Z$2:$Z$58,$B63)</f>
        <v>4.2) Personal Safety (Outputs)</v>
      </c>
      <c r="D63" s="24">
        <f>INDEX(tblIndicators!$D$2:$D$58,$B63)</f>
        <v>2</v>
      </c>
    </row>
    <row r="64" spans="1:4">
      <c r="A64" s="207" t="s">
        <v>259</v>
      </c>
      <c r="B64" s="24">
        <f>MATCH(A64,tblIndicators!$B$2:$B$58,0)</f>
        <v>50</v>
      </c>
      <c r="C64" s="24" t="str">
        <f>INDEX(tblIndicators!$Z$2:$Z$58,$B64)</f>
        <v>4.2.1) Prevalence of petty crime</v>
      </c>
      <c r="D64" s="24">
        <f>INDEX(tblIndicators!$D$2:$D$58,$B64)</f>
        <v>3</v>
      </c>
    </row>
    <row r="65" spans="1:4">
      <c r="A65" s="207" t="s">
        <v>263</v>
      </c>
      <c r="B65" s="24">
        <f>MATCH(A65,tblIndicators!$B$2:$B$58,0)</f>
        <v>51</v>
      </c>
      <c r="C65" s="24" t="str">
        <f>INDEX(tblIndicators!$Z$2:$Z$58,$B65)</f>
        <v>4.2.2) Prevalence of violence crime</v>
      </c>
      <c r="D65" s="24">
        <f>INDEX(tblIndicators!$D$2:$D$58,$B65)</f>
        <v>3</v>
      </c>
    </row>
    <row r="66" spans="1:4">
      <c r="A66" s="207" t="s">
        <v>266</v>
      </c>
      <c r="B66" s="24">
        <f>MATCH(A66,tblIndicators!$B$2:$B$58,0)</f>
        <v>52</v>
      </c>
      <c r="C66" s="24" t="str">
        <f>INDEX(tblIndicators!$Z$2:$Z$58,$B66)</f>
        <v>4.2.3) Criminal gang activity</v>
      </c>
      <c r="D66" s="24">
        <f>INDEX(tblIndicators!$D$2:$D$58,$B66)</f>
        <v>3</v>
      </c>
    </row>
    <row r="67" spans="1:4">
      <c r="A67" s="207" t="s">
        <v>271</v>
      </c>
      <c r="B67" s="24">
        <f>MATCH(A67,tblIndicators!$B$2:$B$58,0)</f>
        <v>53</v>
      </c>
      <c r="C67" s="24" t="str">
        <f>INDEX(tblIndicators!$Z$2:$Z$58,$B67)</f>
        <v>4.2.4) Level of corruption in police force</v>
      </c>
      <c r="D67" s="24">
        <f>INDEX(tblIndicators!$D$2:$D$58,$B67)</f>
        <v>3</v>
      </c>
    </row>
    <row r="68" spans="1:4">
      <c r="A68" s="207" t="s">
        <v>274</v>
      </c>
      <c r="B68" s="24">
        <f>MATCH(A68,tblIndicators!$B$2:$B$58,0)</f>
        <v>54</v>
      </c>
      <c r="C68" s="24" t="str">
        <f>INDEX(tblIndicators!$Z$2:$Z$58,$B68)</f>
        <v>4.2.5) Rate of drug use</v>
      </c>
      <c r="D68" s="24">
        <f>INDEX(tblIndicators!$D$2:$D$58,$B68)</f>
        <v>3</v>
      </c>
    </row>
    <row r="69" spans="1:4">
      <c r="A69" s="207" t="s">
        <v>277</v>
      </c>
      <c r="B69" s="24">
        <f>MATCH(A69,tblIndicators!$B$2:$B$58,0)</f>
        <v>55</v>
      </c>
      <c r="C69" s="24" t="str">
        <f>INDEX(tblIndicators!$Z$2:$Z$58,$B69)</f>
        <v>4.2.6) Frequency of terrorist attacks</v>
      </c>
      <c r="D69" s="24">
        <f>INDEX(tblIndicators!$D$2:$D$58,$B69)</f>
        <v>3</v>
      </c>
    </row>
    <row r="70" spans="1:4">
      <c r="A70" s="207" t="s">
        <v>282</v>
      </c>
      <c r="B70" s="24">
        <f>MATCH(A70,tblIndicators!$B$2:$B$58,0)</f>
        <v>56</v>
      </c>
      <c r="C70" s="24" t="str">
        <f>INDEX(tblIndicators!$Z$2:$Z$58,$B70)</f>
        <v>4.2.7) Gender safety</v>
      </c>
      <c r="D70" s="24">
        <f>INDEX(tblIndicators!$D$2:$D$58,$B70)</f>
        <v>3</v>
      </c>
    </row>
    <row r="71" spans="1:4">
      <c r="A71" s="207" t="s">
        <v>287</v>
      </c>
      <c r="B71" s="24">
        <f>MATCH(A71,tblIndicators!$B$2:$B$58,0)</f>
        <v>57</v>
      </c>
      <c r="C71" s="24" t="str">
        <f>INDEX(tblIndicators!$Z$2:$Z$58,$B71)</f>
        <v>4.2.8) Perceptions of safety</v>
      </c>
      <c r="D71" s="24">
        <f>INDEX(tblIndicators!$D$2:$D$58,$B71)</f>
        <v>3</v>
      </c>
    </row>
    <row r="74" spans="1:1">
      <c r="A74" s="177" t="s">
        <v>297</v>
      </c>
    </row>
    <row r="75" spans="1:4">
      <c r="A75" s="208" t="s">
        <v>61</v>
      </c>
      <c r="B75" s="24">
        <f>MATCH(A75,tblIndicators!$B$2:$B$58,0)</f>
        <v>1</v>
      </c>
      <c r="C75" s="24" t="str">
        <f>CONCATENATE(REPT(" ",D75),INDEX(tblIndicators!$Z$2:$Z$58,$B75))</f>
        <v>TOTAL SCORE</v>
      </c>
      <c r="D75" s="24">
        <f>INDEX(tblIndicators!$D$2:$D$58,$B75)</f>
        <v>0</v>
      </c>
    </row>
    <row r="76" spans="1:4">
      <c r="A76" s="209" t="s">
        <v>64</v>
      </c>
      <c r="B76" s="24">
        <f>MATCH(A76,tblIndicators!$B$2:$B$58,0)</f>
        <v>2</v>
      </c>
      <c r="C76" s="24" t="str">
        <f>CONCATENATE(REPT(" ",D76),INDEX(tblIndicators!$Z$2:$Z$58,$B76))</f>
        <v> 1) DIGITAL SECURITY</v>
      </c>
      <c r="D76" s="24">
        <f>INDEX(tblIndicators!$D$2:$D$58,$B76)</f>
        <v>1</v>
      </c>
    </row>
    <row r="77" spans="1:4">
      <c r="A77" s="205" t="s">
        <v>68</v>
      </c>
      <c r="B77" s="24">
        <f>MATCH(A77,tblIndicators!$B$2:$B$58,0)</f>
        <v>3</v>
      </c>
      <c r="C77" s="24" t="str">
        <f>CONCATENATE(REPT(" ",D77),INDEX(tblIndicators!$Z$2:$Z$58,$B77))</f>
        <v>  1.1) Digital Security (Inputs)</v>
      </c>
      <c r="D77" s="24">
        <f>INDEX(tblIndicators!$D$2:$D$58,$B77)</f>
        <v>2</v>
      </c>
    </row>
    <row r="78" spans="1:4">
      <c r="A78" s="207" t="s">
        <v>75</v>
      </c>
      <c r="B78" s="24">
        <f>MATCH(A78,tblIndicators!$B$2:$B$58,0)</f>
        <v>4</v>
      </c>
      <c r="C78" s="24" t="str">
        <f>CONCATENATE(REPT(" ",D78),INDEX(tblIndicators!$Z$2:$Z$58,$B78))</f>
        <v>   1.1.1) Privacy policy</v>
      </c>
      <c r="D78" s="24">
        <f>INDEX(tblIndicators!$D$2:$D$58,$B78)</f>
        <v>3</v>
      </c>
    </row>
    <row r="79" spans="1:4">
      <c r="A79" s="207" t="s">
        <v>81</v>
      </c>
      <c r="B79" s="24">
        <f>MATCH(A79,tblIndicators!$B$2:$B$58,0)</f>
        <v>5</v>
      </c>
      <c r="C79" s="24" t="str">
        <f>CONCATENATE(REPT(" ",D79),INDEX(tblIndicators!$Z$2:$Z$58,$B79))</f>
        <v>   1.1.2) Citizen awareness of digital threats</v>
      </c>
      <c r="D79" s="24">
        <f>INDEX(tblIndicators!$D$2:$D$58,$B79)</f>
        <v>3</v>
      </c>
    </row>
    <row r="80" spans="1:4">
      <c r="A80" s="207" t="s">
        <v>86</v>
      </c>
      <c r="B80" s="24">
        <f>MATCH(A80,tblIndicators!$B$2:$B$58,0)</f>
        <v>6</v>
      </c>
      <c r="C80" s="24" t="str">
        <f>CONCATENATE(REPT(" ",D80),INDEX(tblIndicators!$Z$2:$Z$58,$B80))</f>
        <v>   1.1.3) City reliance on digital infrastructure</v>
      </c>
      <c r="D80" s="24">
        <f>INDEX(tblIndicators!$D$2:$D$58,$B80)</f>
        <v>3</v>
      </c>
    </row>
    <row r="81" spans="1:4">
      <c r="A81" s="207" t="s">
        <v>91</v>
      </c>
      <c r="B81" s="24">
        <f>MATCH(A81,tblIndicators!$B$2:$B$58,0)</f>
        <v>7</v>
      </c>
      <c r="C81" s="24" t="str">
        <f>CONCATENATE(REPT(" ",D81),INDEX(tblIndicators!$Z$2:$Z$58,$B81))</f>
        <v>   1.1.4) Public-private partnerships</v>
      </c>
      <c r="D81" s="24">
        <f>INDEX(tblIndicators!$D$2:$D$58,$B81)</f>
        <v>3</v>
      </c>
    </row>
    <row r="82" spans="1:4">
      <c r="A82" s="207" t="s">
        <v>95</v>
      </c>
      <c r="B82" s="24">
        <f>MATCH(A82,tblIndicators!$B$2:$B$58,0)</f>
        <v>8</v>
      </c>
      <c r="C82" s="24" t="str">
        <f>CONCATENATE(REPT(" ",D82),INDEX(tblIndicators!$Z$2:$Z$58,$B82))</f>
        <v>   1.1.5) Level of technology employed</v>
      </c>
      <c r="D82" s="24">
        <f>INDEX(tblIndicators!$D$2:$D$58,$B82)</f>
        <v>3</v>
      </c>
    </row>
    <row r="83" spans="1:4">
      <c r="A83" s="207" t="s">
        <v>100</v>
      </c>
      <c r="B83" s="24">
        <f>MATCH(A83,tblIndicators!$B$2:$B$58,0)</f>
        <v>9</v>
      </c>
      <c r="C83" s="24" t="str">
        <f>CONCATENATE(REPT(" ",D83),INDEX(tblIndicators!$Z$2:$Z$58,$B83))</f>
        <v>   1.1.6) Dedicated cyber security teams</v>
      </c>
      <c r="D83" s="24">
        <f>INDEX(tblIndicators!$D$2:$D$58,$B83)</f>
        <v>3</v>
      </c>
    </row>
    <row r="84" spans="1:4">
      <c r="A84" s="205" t="s">
        <v>104</v>
      </c>
      <c r="B84" s="24">
        <f>MATCH(A84,tblIndicators!$B$2:$B$58,0)</f>
        <v>10</v>
      </c>
      <c r="C84" s="24" t="str">
        <f>CONCATENATE(REPT(" ",D84),INDEX(tblIndicators!$Z$2:$Z$58,$B84))</f>
        <v>  1.2) Digital Security (Outputs)</v>
      </c>
      <c r="D84" s="24">
        <f>INDEX(tblIndicators!$D$2:$D$58,$B84)</f>
        <v>2</v>
      </c>
    </row>
    <row r="85" spans="1:4">
      <c r="A85" s="207" t="s">
        <v>109</v>
      </c>
      <c r="B85" s="24">
        <f>MATCH(A85,tblIndicators!$B$2:$B$58,0)</f>
        <v>11</v>
      </c>
      <c r="C85" s="24" t="str">
        <f>CONCATENATE(REPT(" ",D85),INDEX(tblIndicators!$Z$2:$Z$58,$B85))</f>
        <v>   1.2.1) Frequency of identity theft</v>
      </c>
      <c r="D85" s="24">
        <f>INDEX(tblIndicators!$D$2:$D$58,$B85)</f>
        <v>3</v>
      </c>
    </row>
    <row r="86" spans="1:4">
      <c r="A86" s="207" t="s">
        <v>114</v>
      </c>
      <c r="B86" s="24">
        <f>MATCH(A86,tblIndicators!$B$2:$B$58,0)</f>
        <v>12</v>
      </c>
      <c r="C86" s="24" t="str">
        <f>CONCATENATE(REPT(" ",D86),INDEX(tblIndicators!$Z$2:$Z$58,$B86))</f>
        <v>   1.2.2) Precentage of computers infected</v>
      </c>
      <c r="D86" s="24">
        <f>INDEX(tblIndicators!$D$2:$D$58,$B86)</f>
        <v>3</v>
      </c>
    </row>
    <row r="87" spans="1:4">
      <c r="A87" s="207" t="s">
        <v>118</v>
      </c>
      <c r="B87" s="24">
        <f>MATCH(A87,tblIndicators!$B$2:$B$58,0)</f>
        <v>13</v>
      </c>
      <c r="C87" s="24" t="str">
        <f>CONCATENATE(REPT(" ",D87),INDEX(tblIndicators!$Z$2:$Z$58,$B87))</f>
        <v>   1.2.3) Percent with internet access</v>
      </c>
      <c r="D87" s="24">
        <f>INDEX(tblIndicators!$D$2:$D$58,$B87)</f>
        <v>3</v>
      </c>
    </row>
    <row r="88" spans="1:4">
      <c r="A88" s="209" t="s">
        <v>122</v>
      </c>
      <c r="B88" s="24">
        <f>MATCH(A88,tblIndicators!$B$2:$B$58,0)</f>
        <v>14</v>
      </c>
      <c r="C88" s="24" t="str">
        <f>CONCATENATE(REPT(" ",D88),INDEX(tblIndicators!$Z$2:$Z$58,$B88))</f>
        <v> 2) HEALTH SECURITY</v>
      </c>
      <c r="D88" s="24">
        <f>INDEX(tblIndicators!$D$2:$D$58,$B88)</f>
        <v>1</v>
      </c>
    </row>
    <row r="89" spans="1:4">
      <c r="A89" s="205" t="s">
        <v>126</v>
      </c>
      <c r="B89" s="24">
        <f>MATCH(A89,tblIndicators!$B$2:$B$58,0)</f>
        <v>15</v>
      </c>
      <c r="C89" s="24" t="str">
        <f>CONCATENATE(REPT(" ",D89),INDEX(tblIndicators!$Z$2:$Z$58,$B89))</f>
        <v>  2.1) Health Security (Inputs)</v>
      </c>
      <c r="D89" s="24">
        <f>INDEX(tblIndicators!$D$2:$D$58,$B89)</f>
        <v>2</v>
      </c>
    </row>
    <row r="90" spans="1:4">
      <c r="A90" s="207" t="s">
        <v>130</v>
      </c>
      <c r="B90" s="24">
        <f>MATCH(A90,tblIndicators!$B$2:$B$58,0)</f>
        <v>16</v>
      </c>
      <c r="C90" s="24" t="str">
        <f>CONCATENATE(REPT(" ",D90),INDEX(tblIndicators!$Z$2:$Z$58,$B90))</f>
        <v>   2.1.1) Environmental policies</v>
      </c>
      <c r="D90" s="24">
        <f>INDEX(tblIndicators!$D$2:$D$58,$B90)</f>
        <v>3</v>
      </c>
    </row>
    <row r="91" spans="1:4">
      <c r="A91" s="207" t="s">
        <v>134</v>
      </c>
      <c r="B91" s="24">
        <f>MATCH(A91,tblIndicators!$B$2:$B$58,0)</f>
        <v>17</v>
      </c>
      <c r="C91" s="24" t="str">
        <f>CONCATENATE(REPT(" ",D91),INDEX(tblIndicators!$Z$2:$Z$58,$B91))</f>
        <v>   2.1.2) Access to healthcare</v>
      </c>
      <c r="D91" s="24">
        <f>INDEX(tblIndicators!$D$2:$D$58,$B91)</f>
        <v>3</v>
      </c>
    </row>
    <row r="92" spans="1:4">
      <c r="A92" s="207" t="s">
        <v>138</v>
      </c>
      <c r="B92" s="24">
        <f>MATCH(A92,tblIndicators!$B$2:$B$58,0)</f>
        <v>18</v>
      </c>
      <c r="C92" s="24" t="str">
        <f>CONCATENATE(REPT(" ",D92),INDEX(tblIndicators!$Z$2:$Z$58,$B92))</f>
        <v>   2.1.3) No. of beds per 1000</v>
      </c>
      <c r="D92" s="24">
        <f>INDEX(tblIndicators!$D$2:$D$58,$B92)</f>
        <v>3</v>
      </c>
    </row>
    <row r="93" spans="1:4">
      <c r="A93" s="207" t="s">
        <v>143</v>
      </c>
      <c r="B93" s="24">
        <f>MATCH(A93,tblIndicators!$B$2:$B$58,0)</f>
        <v>19</v>
      </c>
      <c r="C93" s="24" t="str">
        <f>CONCATENATE(REPT(" ",D93),INDEX(tblIndicators!$Z$2:$Z$58,$B93))</f>
        <v>   2.1.4) Number of doctors per 1000</v>
      </c>
      <c r="D93" s="24">
        <f>INDEX(tblIndicators!$D$2:$D$58,$B93)</f>
        <v>3</v>
      </c>
    </row>
    <row r="94" spans="1:4">
      <c r="A94" s="207" t="s">
        <v>146</v>
      </c>
      <c r="B94" s="24">
        <f>MATCH(A94,tblIndicators!$B$2:$B$58,0)</f>
        <v>20</v>
      </c>
      <c r="C94" s="24" t="str">
        <f>CONCATENATE(REPT(" ",D94),INDEX(tblIndicators!$Z$2:$Z$58,$B94))</f>
        <v>   2.1.5) Access to safe and quality food</v>
      </c>
      <c r="D94" s="24">
        <f>INDEX(tblIndicators!$D$2:$D$58,$B94)</f>
        <v>3</v>
      </c>
    </row>
    <row r="95" spans="1:4">
      <c r="A95" s="207" t="s">
        <v>150</v>
      </c>
      <c r="B95" s="24">
        <f>MATCH(A95,tblIndicators!$B$2:$B$58,0)</f>
        <v>21</v>
      </c>
      <c r="C95" s="24" t="str">
        <f>CONCATENATE(REPT(" ",D95),INDEX(tblIndicators!$Z$2:$Z$58,$B95))</f>
        <v>   2.1.6) Quality of health services</v>
      </c>
      <c r="D95" s="24">
        <f>INDEX(tblIndicators!$D$2:$D$58,$B95)</f>
        <v>3</v>
      </c>
    </row>
    <row r="96" spans="1:4">
      <c r="A96" s="205" t="s">
        <v>154</v>
      </c>
      <c r="B96" s="24">
        <f>MATCH(A96,tblIndicators!$B$2:$B$58,0)</f>
        <v>22</v>
      </c>
      <c r="C96" s="24" t="str">
        <f>CONCATENATE(REPT(" ",D96),INDEX(tblIndicators!$Z$2:$Z$58,$B96))</f>
        <v>  2.2) Health Security (Outputs)</v>
      </c>
      <c r="D96" s="24">
        <f>INDEX(tblIndicators!$D$2:$D$58,$B96)</f>
        <v>2</v>
      </c>
    </row>
    <row r="97" spans="1:4">
      <c r="A97" s="207" t="s">
        <v>158</v>
      </c>
      <c r="B97" s="24">
        <f>MATCH(A97,tblIndicators!$B$2:$B$58,0)</f>
        <v>23</v>
      </c>
      <c r="C97" s="24" t="str">
        <f>CONCATENATE(REPT(" ",D97),INDEX(tblIndicators!$Z$2:$Z$58,$B97))</f>
        <v>   2.2.1) Air quality</v>
      </c>
      <c r="D97" s="24">
        <f>INDEX(tblIndicators!$D$2:$D$58,$B97)</f>
        <v>3</v>
      </c>
    </row>
    <row r="98" spans="1:4">
      <c r="A98" s="207" t="s">
        <v>162</v>
      </c>
      <c r="B98" s="24">
        <f>MATCH(A98,tblIndicators!$B$2:$B$58,0)</f>
        <v>24</v>
      </c>
      <c r="C98" s="24" t="str">
        <f>CONCATENATE(REPT(" ",D98),INDEX(tblIndicators!$Z$2:$Z$58,$B98))</f>
        <v>   2.2.2) Water quality</v>
      </c>
      <c r="D98" s="24">
        <f>INDEX(tblIndicators!$D$2:$D$58,$B98)</f>
        <v>3</v>
      </c>
    </row>
    <row r="99" spans="1:4">
      <c r="A99" s="207" t="s">
        <v>165</v>
      </c>
      <c r="B99" s="24">
        <f>MATCH(A99,tblIndicators!$B$2:$B$58,0)</f>
        <v>25</v>
      </c>
      <c r="C99" s="24" t="str">
        <f>CONCATENATE(REPT(" ",D99),INDEX(tblIndicators!$Z$2:$Z$58,$B99))</f>
        <v>   2.2.3) Life expectancy</v>
      </c>
      <c r="D99" s="24">
        <f>INDEX(tblIndicators!$D$2:$D$58,$B99)</f>
        <v>3</v>
      </c>
    </row>
    <row r="100" spans="1:4">
      <c r="A100" s="207" t="s">
        <v>170</v>
      </c>
      <c r="B100" s="24">
        <f>MATCH(A100,tblIndicators!$B$2:$B$58,0)</f>
        <v>26</v>
      </c>
      <c r="C100" s="24" t="str">
        <f>CONCATENATE(REPT(" ",D100),INDEX(tblIndicators!$Z$2:$Z$58,$B100))</f>
        <v>   2.2.4) Infant mortality (deaths per 1,000 live births)</v>
      </c>
      <c r="D100" s="24">
        <f>INDEX(tblIndicators!$D$2:$D$58,$B100)</f>
        <v>3</v>
      </c>
    </row>
    <row r="101" spans="1:4">
      <c r="A101" s="207" t="s">
        <v>174</v>
      </c>
      <c r="B101" s="24">
        <f>MATCH(A101,tblIndicators!$B$2:$B$58,0)</f>
        <v>27</v>
      </c>
      <c r="C101" s="24" t="str">
        <f>CONCATENATE(REPT(" ",D101),INDEX(tblIndicators!$Z$2:$Z$58,$B101))</f>
        <v>   2.2.5) Cancer mortality rate ( Cancer deaths per 100,000)</v>
      </c>
      <c r="D101" s="24">
        <f>INDEX(tblIndicators!$D$2:$D$58,$B101)</f>
        <v>3</v>
      </c>
    </row>
    <row r="102" spans="1:4">
      <c r="A102" s="209" t="s">
        <v>179</v>
      </c>
      <c r="B102" s="24">
        <f>MATCH(A102,tblIndicators!$B$2:$B$58,0)</f>
        <v>28</v>
      </c>
      <c r="C102" s="24" t="str">
        <f>CONCATENATE(REPT(" ",D102),INDEX(tblIndicators!$Z$2:$Z$58,$B102))</f>
        <v> 3) INFRASTRUCTURE SAFETY</v>
      </c>
      <c r="D102" s="24">
        <f>INDEX(tblIndicators!$D$2:$D$58,$B102)</f>
        <v>1</v>
      </c>
    </row>
    <row r="103" spans="1:4">
      <c r="A103" s="205" t="s">
        <v>182</v>
      </c>
      <c r="B103" s="24">
        <f>MATCH(A103,tblIndicators!$B$2:$B$58,0)</f>
        <v>29</v>
      </c>
      <c r="C103" s="24" t="str">
        <f>CONCATENATE(REPT(" ",D103),INDEX(tblIndicators!$Z$2:$Z$58,$B103))</f>
        <v>  3.1) Infrastructure Safety (Inputs)</v>
      </c>
      <c r="D103" s="24">
        <f>INDEX(tblIndicators!$D$2:$D$58,$B103)</f>
        <v>2</v>
      </c>
    </row>
    <row r="104" spans="1:4">
      <c r="A104" s="207" t="s">
        <v>186</v>
      </c>
      <c r="B104" s="24">
        <f>MATCH(A104,tblIndicators!$B$2:$B$58,0)</f>
        <v>30</v>
      </c>
      <c r="C104" s="24" t="str">
        <f>CONCATENATE(REPT(" ",D104),INDEX(tblIndicators!$Z$2:$Z$58,$B104))</f>
        <v>   3.1.1) Enforcement of transport safety</v>
      </c>
      <c r="D104" s="24">
        <f>INDEX(tblIndicators!$D$2:$D$58,$B104)</f>
        <v>3</v>
      </c>
    </row>
    <row r="105" spans="1:4">
      <c r="A105" s="207" t="s">
        <v>190</v>
      </c>
      <c r="B105" s="24">
        <f>MATCH(A105,tblIndicators!$B$2:$B$58,0)</f>
        <v>31</v>
      </c>
      <c r="C105" s="24" t="str">
        <f>CONCATENATE(REPT(" ",D105),INDEX(tblIndicators!$Z$2:$Z$58,$B105))</f>
        <v>   3.1.2) Pedestrian friendliness</v>
      </c>
      <c r="D105" s="24">
        <f>INDEX(tblIndicators!$D$2:$D$58,$B105)</f>
        <v>3</v>
      </c>
    </row>
    <row r="106" spans="1:4">
      <c r="A106" s="207" t="s">
        <v>193</v>
      </c>
      <c r="B106" s="24">
        <f>MATCH(A106,tblIndicators!$B$2:$B$58,0)</f>
        <v>32</v>
      </c>
      <c r="C106" s="24" t="str">
        <f>CONCATENATE(REPT(" ",D106),INDEX(tblIndicators!$Z$2:$Z$58,$B106))</f>
        <v>   3.1.3) Quality of road infrastructure</v>
      </c>
      <c r="D106" s="24">
        <f>INDEX(tblIndicators!$D$2:$D$58,$B106)</f>
        <v>3</v>
      </c>
    </row>
    <row r="107" spans="1:4">
      <c r="A107" s="207" t="s">
        <v>196</v>
      </c>
      <c r="B107" s="24">
        <f>MATCH(A107,tblIndicators!$B$2:$B$58,0)</f>
        <v>33</v>
      </c>
      <c r="C107" s="24" t="str">
        <f>CONCATENATE(REPT(" ",D107),INDEX(tblIndicators!$Z$2:$Z$58,$B107))</f>
        <v>   3.1.4) Quality of electricity infrastructure</v>
      </c>
      <c r="D107" s="24">
        <f>INDEX(tblIndicators!$D$2:$D$58,$B107)</f>
        <v>3</v>
      </c>
    </row>
    <row r="108" spans="1:4">
      <c r="A108" s="207" t="s">
        <v>199</v>
      </c>
      <c r="B108" s="24">
        <f>MATCH(A108,tblIndicators!$B$2:$B$58,0)</f>
        <v>34</v>
      </c>
      <c r="C108" s="24" t="str">
        <f>CONCATENATE(REPT(" ",D108),INDEX(tblIndicators!$Z$2:$Z$58,$B108))</f>
        <v>   3.1.5) Disaster Management/Business Continuity Plan</v>
      </c>
      <c r="D108" s="24">
        <f>INDEX(tblIndicators!$D$2:$D$58,$B108)</f>
        <v>3</v>
      </c>
    </row>
    <row r="109" spans="1:4">
      <c r="A109" s="205" t="s">
        <v>202</v>
      </c>
      <c r="B109" s="24">
        <f>MATCH(A109,tblIndicators!$B$2:$B$58,0)</f>
        <v>35</v>
      </c>
      <c r="C109" s="24" t="str">
        <f>CONCATENATE(REPT(" ",D109),INDEX(tblIndicators!$Z$2:$Z$58,$B109))</f>
        <v>  3.2) Infrastructure Safety (Outputs)</v>
      </c>
      <c r="D109" s="24">
        <f>INDEX(tblIndicators!$D$2:$D$58,$B109)</f>
        <v>2</v>
      </c>
    </row>
    <row r="110" spans="1:4">
      <c r="A110" s="207" t="s">
        <v>206</v>
      </c>
      <c r="B110" s="24">
        <f>MATCH(A110,tblIndicators!$B$2:$B$58,0)</f>
        <v>36</v>
      </c>
      <c r="C110" s="24" t="str">
        <f>CONCATENATE(REPT(" ",D110),INDEX(tblIndicators!$Z$2:$Z$58,$B110))</f>
        <v>   3.2.1) Death from natural disasters</v>
      </c>
      <c r="D110" s="24">
        <f>INDEX(tblIndicators!$D$2:$D$58,$B110)</f>
        <v>3</v>
      </c>
    </row>
    <row r="111" spans="1:4">
      <c r="A111" s="207" t="s">
        <v>211</v>
      </c>
      <c r="B111" s="24">
        <f>MATCH(A111,tblIndicators!$B$2:$B$58,0)</f>
        <v>37</v>
      </c>
      <c r="C111" s="24" t="str">
        <f>CONCATENATE(REPT(" ",D111),INDEX(tblIndicators!$Z$2:$Z$58,$B111))</f>
        <v>   3.2.2) Frequency of vehicular accidents</v>
      </c>
      <c r="D111" s="24">
        <f>INDEX(tblIndicators!$D$2:$D$58,$B111)</f>
        <v>3</v>
      </c>
    </row>
    <row r="112" spans="1:4">
      <c r="A112" s="207" t="s">
        <v>215</v>
      </c>
      <c r="B112" s="24">
        <f>MATCH(A112,tblIndicators!$B$2:$B$58,0)</f>
        <v>38</v>
      </c>
      <c r="C112" s="24" t="str">
        <f>CONCATENATE(REPT(" ",D112),INDEX(tblIndicators!$Z$2:$Z$58,$B112))</f>
        <v>   3.2.3) Frequency of pedestrian deaths</v>
      </c>
      <c r="D112" s="24">
        <f>INDEX(tblIndicators!$D$2:$D$58,$B112)</f>
        <v>3</v>
      </c>
    </row>
    <row r="113" spans="1:4">
      <c r="A113" s="207" t="s">
        <v>218</v>
      </c>
      <c r="B113" s="24">
        <f>MATCH(A113,tblIndicators!$B$2:$B$58,0)</f>
        <v>39</v>
      </c>
      <c r="C113" s="24" t="str">
        <f>CONCATENATE(REPT(" ",D113),INDEX(tblIndicators!$Z$2:$Z$58,$B113))</f>
        <v>   3.2.4) Percent living in urban slums</v>
      </c>
      <c r="D113" s="24">
        <f>INDEX(tblIndicators!$D$2:$D$58,$B113)</f>
        <v>3</v>
      </c>
    </row>
    <row r="114" spans="1:4">
      <c r="A114" s="209" t="s">
        <v>221</v>
      </c>
      <c r="B114" s="24">
        <f>MATCH(A114,tblIndicators!$B$2:$B$58,0)</f>
        <v>40</v>
      </c>
      <c r="C114" s="24" t="str">
        <f>CONCATENATE(REPT(" ",D114),INDEX(tblIndicators!$Z$2:$Z$58,$B114))</f>
        <v> 4) PERSONAL SAFETY</v>
      </c>
      <c r="D114" s="24">
        <f>INDEX(tblIndicators!$D$2:$D$58,$B114)</f>
        <v>1</v>
      </c>
    </row>
    <row r="115" spans="1:4">
      <c r="A115" s="205" t="s">
        <v>224</v>
      </c>
      <c r="B115" s="24">
        <f>MATCH(A115,tblIndicators!$B$2:$B$58,0)</f>
        <v>41</v>
      </c>
      <c r="C115" s="24" t="str">
        <f>CONCATENATE(REPT(" ",D115),INDEX(tblIndicators!$Z$2:$Z$58,$B115))</f>
        <v>  4.1) Personal Safety (Inputs)</v>
      </c>
      <c r="D115" s="24">
        <f>INDEX(tblIndicators!$D$2:$D$58,$B115)</f>
        <v>2</v>
      </c>
    </row>
    <row r="116" spans="1:4">
      <c r="A116" s="207" t="s">
        <v>228</v>
      </c>
      <c r="B116" s="24">
        <f>MATCH(A116,tblIndicators!$B$2:$B$58,0)</f>
        <v>42</v>
      </c>
      <c r="C116" s="24" t="str">
        <f>CONCATENATE(REPT(" ",D116),INDEX(tblIndicators!$Z$2:$Z$58,$B116))</f>
        <v>   4.1.1) Level of police engagement</v>
      </c>
      <c r="D116" s="24">
        <f>INDEX(tblIndicators!$D$2:$D$58,$B116)</f>
        <v>3</v>
      </c>
    </row>
    <row r="117" spans="1:4">
      <c r="A117" s="207" t="s">
        <v>233</v>
      </c>
      <c r="B117" s="24">
        <f>MATCH(A117,tblIndicators!$B$2:$B$58,0)</f>
        <v>43</v>
      </c>
      <c r="C117" s="24" t="str">
        <f>CONCATENATE(REPT(" ",D117),INDEX(tblIndicators!$Z$2:$Z$58,$B117))</f>
        <v>   4.1.2) Community-based patrolling</v>
      </c>
      <c r="D117" s="24">
        <f>INDEX(tblIndicators!$D$2:$D$58,$B117)</f>
        <v>3</v>
      </c>
    </row>
    <row r="118" spans="1:4">
      <c r="A118" s="207" t="s">
        <v>238</v>
      </c>
      <c r="B118" s="24">
        <f>MATCH(A118,tblIndicators!$B$2:$B$58,0)</f>
        <v>44</v>
      </c>
      <c r="C118" s="24" t="str">
        <f>CONCATENATE(REPT(" ",D118),INDEX(tblIndicators!$Z$2:$Z$58,$B118))</f>
        <v>   4.1.3) Availability of street-level crime data</v>
      </c>
      <c r="D118" s="24">
        <f>INDEX(tblIndicators!$D$2:$D$58,$B118)</f>
        <v>3</v>
      </c>
    </row>
    <row r="119" spans="1:4">
      <c r="A119" s="207" t="s">
        <v>241</v>
      </c>
      <c r="B119" s="24">
        <f>MATCH(A119,tblIndicators!$B$2:$B$58,0)</f>
        <v>45</v>
      </c>
      <c r="C119" s="24" t="str">
        <f>CONCATENATE(REPT(" ",D119),INDEX(tblIndicators!$Z$2:$Z$58,$B119))</f>
        <v>   4.1.4) Use of data-driven techniques for crime</v>
      </c>
      <c r="D119" s="24">
        <f>INDEX(tblIndicators!$D$2:$D$58,$B119)</f>
        <v>3</v>
      </c>
    </row>
    <row r="120" spans="1:4">
      <c r="A120" s="207" t="s">
        <v>244</v>
      </c>
      <c r="B120" s="24">
        <f>MATCH(A120,tblIndicators!$B$2:$B$58,0)</f>
        <v>46</v>
      </c>
      <c r="C120" s="24" t="str">
        <f>CONCATENATE(REPT(" ",D120),INDEX(tblIndicators!$Z$2:$Z$58,$B120))</f>
        <v>   4.1.5) Private security measures</v>
      </c>
      <c r="D120" s="24">
        <f>INDEX(tblIndicators!$D$2:$D$58,$B120)</f>
        <v>3</v>
      </c>
    </row>
    <row r="121" spans="1:4">
      <c r="A121" s="207" t="s">
        <v>247</v>
      </c>
      <c r="B121" s="24">
        <f>MATCH(A121,tblIndicators!$B$2:$B$58,0)</f>
        <v>47</v>
      </c>
      <c r="C121" s="24" t="str">
        <f>CONCATENATE(REPT(" ",D121),INDEX(tblIndicators!$Z$2:$Z$58,$B121))</f>
        <v>   4.1.6) Gun regulation and enforcement</v>
      </c>
      <c r="D121" s="24">
        <f>INDEX(tblIndicators!$D$2:$D$58,$B121)</f>
        <v>3</v>
      </c>
    </row>
    <row r="122" spans="1:4">
      <c r="A122" s="207" t="s">
        <v>251</v>
      </c>
      <c r="B122" s="24">
        <f>MATCH(A122,tblIndicators!$B$2:$B$58,0)</f>
        <v>48</v>
      </c>
      <c r="C122" s="24" t="str">
        <f>CONCATENATE(REPT(" ",D122),INDEX(tblIndicators!$Z$2:$Z$58,$B122))</f>
        <v>   4.1.7) Political Stability Risk</v>
      </c>
      <c r="D122" s="24">
        <f>INDEX(tblIndicators!$D$2:$D$58,$B122)</f>
        <v>3</v>
      </c>
    </row>
    <row r="123" spans="1:4">
      <c r="A123" s="205" t="s">
        <v>255</v>
      </c>
      <c r="B123" s="24">
        <f>MATCH(A123,tblIndicators!$B$2:$B$58,0)</f>
        <v>49</v>
      </c>
      <c r="C123" s="24" t="str">
        <f>CONCATENATE(REPT(" ",D123),INDEX(tblIndicators!$Z$2:$Z$58,$B123))</f>
        <v>  4.2) Personal Safety (Outputs)</v>
      </c>
      <c r="D123" s="24">
        <f>INDEX(tblIndicators!$D$2:$D$58,$B123)</f>
        <v>2</v>
      </c>
    </row>
    <row r="124" spans="1:4">
      <c r="A124" s="207" t="s">
        <v>259</v>
      </c>
      <c r="B124" s="24">
        <f>MATCH(A124,tblIndicators!$B$2:$B$58,0)</f>
        <v>50</v>
      </c>
      <c r="C124" s="24" t="str">
        <f>CONCATENATE(REPT(" ",D124),INDEX(tblIndicators!$Z$2:$Z$58,$B124))</f>
        <v>   4.2.1) Prevalence of petty crime</v>
      </c>
      <c r="D124" s="24">
        <f>INDEX(tblIndicators!$D$2:$D$58,$B124)</f>
        <v>3</v>
      </c>
    </row>
    <row r="125" spans="1:4">
      <c r="A125" s="207" t="s">
        <v>263</v>
      </c>
      <c r="B125" s="24">
        <f>MATCH(A125,tblIndicators!$B$2:$B$58,0)</f>
        <v>51</v>
      </c>
      <c r="C125" s="24" t="str">
        <f>CONCATENATE(REPT(" ",D125),INDEX(tblIndicators!$Z$2:$Z$58,$B125))</f>
        <v>   4.2.2) Prevalence of violence crime</v>
      </c>
      <c r="D125" s="24">
        <f>INDEX(tblIndicators!$D$2:$D$58,$B125)</f>
        <v>3</v>
      </c>
    </row>
    <row r="126" spans="1:4">
      <c r="A126" s="207" t="s">
        <v>266</v>
      </c>
      <c r="B126" s="24">
        <f>MATCH(A126,tblIndicators!$B$2:$B$58,0)</f>
        <v>52</v>
      </c>
      <c r="C126" s="24" t="str">
        <f>CONCATENATE(REPT(" ",D126),INDEX(tblIndicators!$Z$2:$Z$58,$B126))</f>
        <v>   4.2.3) Criminal gang activity</v>
      </c>
      <c r="D126" s="24">
        <f>INDEX(tblIndicators!$D$2:$D$58,$B126)</f>
        <v>3</v>
      </c>
    </row>
    <row r="127" spans="1:4">
      <c r="A127" s="207" t="s">
        <v>271</v>
      </c>
      <c r="B127" s="24">
        <f>MATCH(A127,tblIndicators!$B$2:$B$58,0)</f>
        <v>53</v>
      </c>
      <c r="C127" s="24" t="str">
        <f>CONCATENATE(REPT(" ",D127),INDEX(tblIndicators!$Z$2:$Z$58,$B127))</f>
        <v>   4.2.4) Level of corruption in police force</v>
      </c>
      <c r="D127" s="24">
        <f>INDEX(tblIndicators!$D$2:$D$58,$B127)</f>
        <v>3</v>
      </c>
    </row>
    <row r="128" spans="1:4">
      <c r="A128" s="207" t="s">
        <v>274</v>
      </c>
      <c r="B128" s="24">
        <f>MATCH(A128,tblIndicators!$B$2:$B$58,0)</f>
        <v>54</v>
      </c>
      <c r="C128" s="24" t="str">
        <f>CONCATENATE(REPT(" ",D128),INDEX(tblIndicators!$Z$2:$Z$58,$B128))</f>
        <v>   4.2.5) Rate of drug use</v>
      </c>
      <c r="D128" s="24">
        <f>INDEX(tblIndicators!$D$2:$D$58,$B128)</f>
        <v>3</v>
      </c>
    </row>
    <row r="129" spans="1:4">
      <c r="A129" s="207" t="s">
        <v>277</v>
      </c>
      <c r="B129" s="24">
        <f>MATCH(A129,tblIndicators!$B$2:$B$58,0)</f>
        <v>55</v>
      </c>
      <c r="C129" s="24" t="str">
        <f>CONCATENATE(REPT(" ",D129),INDEX(tblIndicators!$Z$2:$Z$58,$B129))</f>
        <v>   4.2.6) Frequency of terrorist attacks</v>
      </c>
      <c r="D129" s="24">
        <f>INDEX(tblIndicators!$D$2:$D$58,$B129)</f>
        <v>3</v>
      </c>
    </row>
    <row r="130" spans="1:4">
      <c r="A130" s="207" t="s">
        <v>282</v>
      </c>
      <c r="B130" s="24">
        <f>MATCH(A130,tblIndicators!$B$2:$B$58,0)</f>
        <v>56</v>
      </c>
      <c r="C130" s="24" t="str">
        <f>CONCATENATE(REPT(" ",D130),INDEX(tblIndicators!$Z$2:$Z$58,$B130))</f>
        <v>   4.2.7) Gender safety</v>
      </c>
      <c r="D130" s="24">
        <f>INDEX(tblIndicators!$D$2:$D$58,$B130)</f>
        <v>3</v>
      </c>
    </row>
    <row r="131" spans="1:4">
      <c r="A131" s="207" t="s">
        <v>287</v>
      </c>
      <c r="B131" s="24">
        <f>MATCH(A131,tblIndicators!$B$2:$B$58,0)</f>
        <v>57</v>
      </c>
      <c r="C131" s="24" t="str">
        <f>CONCATENATE(REPT(" ",D131),INDEX(tblIndicators!$Z$2:$Z$58,$B131))</f>
        <v>   4.2.8) Perceptions of safety</v>
      </c>
      <c r="D131" s="24">
        <f>INDEX(tblIndicators!$D$2:$D$58,$B131)</f>
        <v>3</v>
      </c>
    </row>
    <row r="134" spans="1:1">
      <c r="A134" s="177" t="s">
        <v>298</v>
      </c>
    </row>
    <row r="135" spans="1:4">
      <c r="A135" s="208" t="s">
        <v>61</v>
      </c>
      <c r="B135" s="24">
        <f>MATCH(A135,tblIndicators!$B$2:$B$58,0)</f>
        <v>1</v>
      </c>
      <c r="C135" s="24" t="str">
        <f>CONCATENATE(REPT(" ",D135),INDEX(tblIndicators!$Z$2:$Z$58,$B135))</f>
        <v>TOTAL SCORE</v>
      </c>
      <c r="D135" s="24">
        <f>INDEX(tblIndicators!$D$2:$D$58,$B135)</f>
        <v>0</v>
      </c>
    </row>
    <row r="136" spans="1:4">
      <c r="A136" s="209" t="s">
        <v>64</v>
      </c>
      <c r="B136" s="24">
        <f>MATCH(A136,tblIndicators!$B$2:$B$58,0)</f>
        <v>2</v>
      </c>
      <c r="C136" s="24" t="str">
        <f>CONCATENATE(REPT(" ",D136),INDEX(tblIndicators!$Z$2:$Z$58,$B136))</f>
        <v> 1) DIGITAL SECURITY</v>
      </c>
      <c r="D136" s="24">
        <f>INDEX(tblIndicators!$D$2:$D$58,$B136)</f>
        <v>1</v>
      </c>
    </row>
    <row r="137" spans="1:4">
      <c r="A137" s="205" t="s">
        <v>68</v>
      </c>
      <c r="B137" s="24">
        <f>MATCH(A137,tblIndicators!$B$2:$B$58,0)</f>
        <v>3</v>
      </c>
      <c r="C137" s="24" t="str">
        <f>CONCATENATE(REPT(" ",D137),INDEX(tblIndicators!$Z$2:$Z$58,$B137))</f>
        <v>  1.1) Digital Security (Inputs)</v>
      </c>
      <c r="D137" s="24">
        <f>INDEX(tblIndicators!$D$2:$D$58,$B137)</f>
        <v>2</v>
      </c>
    </row>
    <row r="138" spans="1:4">
      <c r="A138" s="207" t="s">
        <v>75</v>
      </c>
      <c r="B138" s="24">
        <f>MATCH(A138,tblIndicators!$B$2:$B$58,0)</f>
        <v>4</v>
      </c>
      <c r="C138" s="24" t="str">
        <f>CONCATENATE(REPT(" ",D138),INDEX(tblIndicators!$Z$2:$Z$58,$B138))</f>
        <v>   1.1.1) Privacy policy</v>
      </c>
      <c r="D138" s="24">
        <f>INDEX(tblIndicators!$D$2:$D$58,$B138)</f>
        <v>3</v>
      </c>
    </row>
    <row r="139" spans="1:4">
      <c r="A139" s="207" t="s">
        <v>81</v>
      </c>
      <c r="B139" s="24">
        <f>MATCH(A139,tblIndicators!$B$2:$B$58,0)</f>
        <v>5</v>
      </c>
      <c r="C139" s="24" t="str">
        <f>CONCATENATE(REPT(" ",D139),INDEX(tblIndicators!$Z$2:$Z$58,$B139))</f>
        <v>   1.1.2) Citizen awareness of digital threats</v>
      </c>
      <c r="D139" s="24">
        <f>INDEX(tblIndicators!$D$2:$D$58,$B139)</f>
        <v>3</v>
      </c>
    </row>
    <row r="140" spans="1:4">
      <c r="A140" s="207" t="s">
        <v>86</v>
      </c>
      <c r="B140" s="24">
        <f>MATCH(A140,tblIndicators!$B$2:$B$58,0)</f>
        <v>6</v>
      </c>
      <c r="C140" s="24" t="str">
        <f>CONCATENATE(REPT(" ",D140),INDEX(tblIndicators!$Z$2:$Z$58,$B140))</f>
        <v>   1.1.3) City reliance on digital infrastructure</v>
      </c>
      <c r="D140" s="24">
        <f>INDEX(tblIndicators!$D$2:$D$58,$B140)</f>
        <v>3</v>
      </c>
    </row>
    <row r="141" spans="1:4">
      <c r="A141" s="207" t="s">
        <v>91</v>
      </c>
      <c r="B141" s="24">
        <f>MATCH(A141,tblIndicators!$B$2:$B$58,0)</f>
        <v>7</v>
      </c>
      <c r="C141" s="24" t="str">
        <f>CONCATENATE(REPT(" ",D141),INDEX(tblIndicators!$Z$2:$Z$58,$B141))</f>
        <v>   1.1.4) Public-private partnerships</v>
      </c>
      <c r="D141" s="24">
        <f>INDEX(tblIndicators!$D$2:$D$58,$B141)</f>
        <v>3</v>
      </c>
    </row>
    <row r="142" spans="1:4">
      <c r="A142" s="207" t="s">
        <v>95</v>
      </c>
      <c r="B142" s="24">
        <f>MATCH(A142,tblIndicators!$B$2:$B$58,0)</f>
        <v>8</v>
      </c>
      <c r="C142" s="24" t="str">
        <f>CONCATENATE(REPT(" ",D142),INDEX(tblIndicators!$Z$2:$Z$58,$B142))</f>
        <v>   1.1.5) Level of technology employed</v>
      </c>
      <c r="D142" s="24">
        <f>INDEX(tblIndicators!$D$2:$D$58,$B142)</f>
        <v>3</v>
      </c>
    </row>
    <row r="143" spans="1:4">
      <c r="A143" s="207" t="s">
        <v>100</v>
      </c>
      <c r="B143" s="24">
        <f>MATCH(A143,tblIndicators!$B$2:$B$58,0)</f>
        <v>9</v>
      </c>
      <c r="C143" s="24" t="str">
        <f>CONCATENATE(REPT(" ",D143),INDEX(tblIndicators!$Z$2:$Z$58,$B143))</f>
        <v>   1.1.6) Dedicated cyber security teams</v>
      </c>
      <c r="D143" s="24">
        <f>INDEX(tblIndicators!$D$2:$D$58,$B143)</f>
        <v>3</v>
      </c>
    </row>
    <row r="144" spans="1:4">
      <c r="A144" s="205" t="s">
        <v>104</v>
      </c>
      <c r="B144" s="24">
        <f>MATCH(A144,tblIndicators!$B$2:$B$58,0)</f>
        <v>10</v>
      </c>
      <c r="C144" s="24" t="str">
        <f>CONCATENATE(REPT(" ",D144),INDEX(tblIndicators!$Z$2:$Z$58,$B144))</f>
        <v>  1.2) Digital Security (Outputs)</v>
      </c>
      <c r="D144" s="24">
        <f>INDEX(tblIndicators!$D$2:$D$58,$B144)</f>
        <v>2</v>
      </c>
    </row>
    <row r="145" spans="1:4">
      <c r="A145" s="207" t="s">
        <v>109</v>
      </c>
      <c r="B145" s="24">
        <f>MATCH(A145,tblIndicators!$B$2:$B$58,0)</f>
        <v>11</v>
      </c>
      <c r="C145" s="24" t="str">
        <f>CONCATENATE(REPT(" ",D145),INDEX(tblIndicators!$Z$2:$Z$58,$B145))</f>
        <v>   1.2.1) Frequency of identity theft</v>
      </c>
      <c r="D145" s="24">
        <f>INDEX(tblIndicators!$D$2:$D$58,$B145)</f>
        <v>3</v>
      </c>
    </row>
    <row r="146" spans="1:4">
      <c r="A146" s="207" t="s">
        <v>114</v>
      </c>
      <c r="B146" s="24">
        <f>MATCH(A146,tblIndicators!$B$2:$B$58,0)</f>
        <v>12</v>
      </c>
      <c r="C146" s="24" t="str">
        <f>CONCATENATE(REPT(" ",D146),INDEX(tblIndicators!$Z$2:$Z$58,$B146))</f>
        <v>   1.2.2) Precentage of computers infected</v>
      </c>
      <c r="D146" s="24">
        <f>INDEX(tblIndicators!$D$2:$D$58,$B146)</f>
        <v>3</v>
      </c>
    </row>
    <row r="147" spans="1:4">
      <c r="A147" s="207" t="s">
        <v>118</v>
      </c>
      <c r="B147" s="24">
        <f>MATCH(A147,tblIndicators!$B$2:$B$58,0)</f>
        <v>13</v>
      </c>
      <c r="C147" s="24" t="str">
        <f>CONCATENATE(REPT(" ",D147),INDEX(tblIndicators!$Z$2:$Z$58,$B147))</f>
        <v>   1.2.3) Percent with internet access</v>
      </c>
      <c r="D147" s="24">
        <f>INDEX(tblIndicators!$D$2:$D$58,$B147)</f>
        <v>3</v>
      </c>
    </row>
    <row r="148" spans="1:4">
      <c r="A148" s="209" t="s">
        <v>122</v>
      </c>
      <c r="B148" s="24">
        <f>MATCH(A148,tblIndicators!$B$2:$B$58,0)</f>
        <v>14</v>
      </c>
      <c r="C148" s="24" t="str">
        <f>CONCATENATE(REPT(" ",D148),INDEX(tblIndicators!$Z$2:$Z$58,$B148))</f>
        <v> 2) HEALTH SECURITY</v>
      </c>
      <c r="D148" s="24">
        <f>INDEX(tblIndicators!$D$2:$D$58,$B148)</f>
        <v>1</v>
      </c>
    </row>
    <row r="149" spans="1:4">
      <c r="A149" s="205" t="s">
        <v>126</v>
      </c>
      <c r="B149" s="24">
        <f>MATCH(A149,tblIndicators!$B$2:$B$58,0)</f>
        <v>15</v>
      </c>
      <c r="C149" s="24" t="str">
        <f>CONCATENATE(REPT(" ",D149),INDEX(tblIndicators!$Z$2:$Z$58,$B149))</f>
        <v>  2.1) Health Security (Inputs)</v>
      </c>
      <c r="D149" s="24">
        <f>INDEX(tblIndicators!$D$2:$D$58,$B149)</f>
        <v>2</v>
      </c>
    </row>
    <row r="150" spans="1:4">
      <c r="A150" s="207" t="s">
        <v>130</v>
      </c>
      <c r="B150" s="24">
        <f>MATCH(A150,tblIndicators!$B$2:$B$58,0)</f>
        <v>16</v>
      </c>
      <c r="C150" s="24" t="str">
        <f>CONCATENATE(REPT(" ",D150),INDEX(tblIndicators!$Z$2:$Z$58,$B150))</f>
        <v>   2.1.1) Environmental policies</v>
      </c>
      <c r="D150" s="24">
        <f>INDEX(tblIndicators!$D$2:$D$58,$B150)</f>
        <v>3</v>
      </c>
    </row>
    <row r="151" spans="1:4">
      <c r="A151" s="207" t="s">
        <v>134</v>
      </c>
      <c r="B151" s="24">
        <f>MATCH(A151,tblIndicators!$B$2:$B$58,0)</f>
        <v>17</v>
      </c>
      <c r="C151" s="24" t="str">
        <f>CONCATENATE(REPT(" ",D151),INDEX(tblIndicators!$Z$2:$Z$58,$B151))</f>
        <v>   2.1.2) Access to healthcare</v>
      </c>
      <c r="D151" s="24">
        <f>INDEX(tblIndicators!$D$2:$D$58,$B151)</f>
        <v>3</v>
      </c>
    </row>
    <row r="152" spans="1:4">
      <c r="A152" s="207" t="s">
        <v>138</v>
      </c>
      <c r="B152" s="24">
        <f>MATCH(A152,tblIndicators!$B$2:$B$58,0)</f>
        <v>18</v>
      </c>
      <c r="C152" s="24" t="str">
        <f>CONCATENATE(REPT(" ",D152),INDEX(tblIndicators!$Z$2:$Z$58,$B152))</f>
        <v>   2.1.3) No. of beds per 1000</v>
      </c>
      <c r="D152" s="24">
        <f>INDEX(tblIndicators!$D$2:$D$58,$B152)</f>
        <v>3</v>
      </c>
    </row>
    <row r="153" spans="1:4">
      <c r="A153" s="207" t="s">
        <v>143</v>
      </c>
      <c r="B153" s="24">
        <f>MATCH(A153,tblIndicators!$B$2:$B$58,0)</f>
        <v>19</v>
      </c>
      <c r="C153" s="24" t="str">
        <f>CONCATENATE(REPT(" ",D153),INDEX(tblIndicators!$Z$2:$Z$58,$B153))</f>
        <v>   2.1.4) Number of doctors per 1000</v>
      </c>
      <c r="D153" s="24">
        <f>INDEX(tblIndicators!$D$2:$D$58,$B153)</f>
        <v>3</v>
      </c>
    </row>
    <row r="154" spans="1:4">
      <c r="A154" s="207" t="s">
        <v>146</v>
      </c>
      <c r="B154" s="24">
        <f>MATCH(A154,tblIndicators!$B$2:$B$58,0)</f>
        <v>20</v>
      </c>
      <c r="C154" s="24" t="str">
        <f>CONCATENATE(REPT(" ",D154),INDEX(tblIndicators!$Z$2:$Z$58,$B154))</f>
        <v>   2.1.5) Access to safe and quality food</v>
      </c>
      <c r="D154" s="24">
        <f>INDEX(tblIndicators!$D$2:$D$58,$B154)</f>
        <v>3</v>
      </c>
    </row>
    <row r="155" spans="1:4">
      <c r="A155" s="207" t="s">
        <v>150</v>
      </c>
      <c r="B155" s="24">
        <f>MATCH(A155,tblIndicators!$B$2:$B$58,0)</f>
        <v>21</v>
      </c>
      <c r="C155" s="24" t="str">
        <f>CONCATENATE(REPT(" ",D155),INDEX(tblIndicators!$Z$2:$Z$58,$B155))</f>
        <v>   2.1.6) Quality of health services</v>
      </c>
      <c r="D155" s="24">
        <f>INDEX(tblIndicators!$D$2:$D$58,$B155)</f>
        <v>3</v>
      </c>
    </row>
    <row r="156" spans="1:4">
      <c r="A156" s="205" t="s">
        <v>154</v>
      </c>
      <c r="B156" s="24">
        <f>MATCH(A156,tblIndicators!$B$2:$B$58,0)</f>
        <v>22</v>
      </c>
      <c r="C156" s="24" t="str">
        <f>CONCATENATE(REPT(" ",D156),INDEX(tblIndicators!$Z$2:$Z$58,$B156))</f>
        <v>  2.2) Health Security (Outputs)</v>
      </c>
      <c r="D156" s="24">
        <f>INDEX(tblIndicators!$D$2:$D$58,$B156)</f>
        <v>2</v>
      </c>
    </row>
    <row r="157" spans="1:4">
      <c r="A157" s="207" t="s">
        <v>158</v>
      </c>
      <c r="B157" s="24">
        <f>MATCH(A157,tblIndicators!$B$2:$B$58,0)</f>
        <v>23</v>
      </c>
      <c r="C157" s="24" t="str">
        <f>CONCATENATE(REPT(" ",D157),INDEX(tblIndicators!$Z$2:$Z$58,$B157))</f>
        <v>   2.2.1) Air quality</v>
      </c>
      <c r="D157" s="24">
        <f>INDEX(tblIndicators!$D$2:$D$58,$B157)</f>
        <v>3</v>
      </c>
    </row>
    <row r="158" spans="1:4">
      <c r="A158" s="207" t="s">
        <v>162</v>
      </c>
      <c r="B158" s="24">
        <f>MATCH(A158,tblIndicators!$B$2:$B$58,0)</f>
        <v>24</v>
      </c>
      <c r="C158" s="24" t="str">
        <f>CONCATENATE(REPT(" ",D158),INDEX(tblIndicators!$Z$2:$Z$58,$B158))</f>
        <v>   2.2.2) Water quality</v>
      </c>
      <c r="D158" s="24">
        <f>INDEX(tblIndicators!$D$2:$D$58,$B158)</f>
        <v>3</v>
      </c>
    </row>
    <row r="159" spans="1:4">
      <c r="A159" s="207" t="s">
        <v>165</v>
      </c>
      <c r="B159" s="24">
        <f>MATCH(A159,tblIndicators!$B$2:$B$58,0)</f>
        <v>25</v>
      </c>
      <c r="C159" s="24" t="str">
        <f>CONCATENATE(REPT(" ",D159),INDEX(tblIndicators!$Z$2:$Z$58,$B159))</f>
        <v>   2.2.3) Life expectancy</v>
      </c>
      <c r="D159" s="24">
        <f>INDEX(tblIndicators!$D$2:$D$58,$B159)</f>
        <v>3</v>
      </c>
    </row>
    <row r="160" spans="1:4">
      <c r="A160" s="207" t="s">
        <v>170</v>
      </c>
      <c r="B160" s="24">
        <f>MATCH(A160,tblIndicators!$B$2:$B$58,0)</f>
        <v>26</v>
      </c>
      <c r="C160" s="24" t="str">
        <f>CONCATENATE(REPT(" ",D160),INDEX(tblIndicators!$Z$2:$Z$58,$B160))</f>
        <v>   2.2.4) Infant mortality (deaths per 1,000 live births)</v>
      </c>
      <c r="D160" s="24">
        <f>INDEX(tblIndicators!$D$2:$D$58,$B160)</f>
        <v>3</v>
      </c>
    </row>
    <row r="161" spans="1:4">
      <c r="A161" s="207" t="s">
        <v>174</v>
      </c>
      <c r="B161" s="24">
        <f>MATCH(A161,tblIndicators!$B$2:$B$58,0)</f>
        <v>27</v>
      </c>
      <c r="C161" s="24" t="str">
        <f>CONCATENATE(REPT(" ",D161),INDEX(tblIndicators!$Z$2:$Z$58,$B161))</f>
        <v>   2.2.5) Cancer mortality rate ( Cancer deaths per 100,000)</v>
      </c>
      <c r="D161" s="24">
        <f>INDEX(tblIndicators!$D$2:$D$58,$B161)</f>
        <v>3</v>
      </c>
    </row>
    <row r="162" spans="1:4">
      <c r="A162" s="209" t="s">
        <v>179</v>
      </c>
      <c r="B162" s="24">
        <f>MATCH(A162,tblIndicators!$B$2:$B$58,0)</f>
        <v>28</v>
      </c>
      <c r="C162" s="24" t="str">
        <f>CONCATENATE(REPT(" ",D162),INDEX(tblIndicators!$Z$2:$Z$58,$B162))</f>
        <v> 3) INFRASTRUCTURE SAFETY</v>
      </c>
      <c r="D162" s="24">
        <f>INDEX(tblIndicators!$D$2:$D$58,$B162)</f>
        <v>1</v>
      </c>
    </row>
    <row r="163" spans="1:4">
      <c r="A163" s="205" t="s">
        <v>182</v>
      </c>
      <c r="B163" s="24">
        <f>MATCH(A163,tblIndicators!$B$2:$B$58,0)</f>
        <v>29</v>
      </c>
      <c r="C163" s="24" t="str">
        <f>CONCATENATE(REPT(" ",D163),INDEX(tblIndicators!$Z$2:$Z$58,$B163))</f>
        <v>  3.1) Infrastructure Safety (Inputs)</v>
      </c>
      <c r="D163" s="24">
        <f>INDEX(tblIndicators!$D$2:$D$58,$B163)</f>
        <v>2</v>
      </c>
    </row>
    <row r="164" spans="1:4">
      <c r="A164" s="207" t="s">
        <v>186</v>
      </c>
      <c r="B164" s="24">
        <f>MATCH(A164,tblIndicators!$B$2:$B$58,0)</f>
        <v>30</v>
      </c>
      <c r="C164" s="24" t="str">
        <f>CONCATENATE(REPT(" ",D164),INDEX(tblIndicators!$Z$2:$Z$58,$B164))</f>
        <v>   3.1.1) Enforcement of transport safety</v>
      </c>
      <c r="D164" s="24">
        <f>INDEX(tblIndicators!$D$2:$D$58,$B164)</f>
        <v>3</v>
      </c>
    </row>
    <row r="165" spans="1:4">
      <c r="A165" s="207" t="s">
        <v>190</v>
      </c>
      <c r="B165" s="24">
        <f>MATCH(A165,tblIndicators!$B$2:$B$58,0)</f>
        <v>31</v>
      </c>
      <c r="C165" s="24" t="str">
        <f>CONCATENATE(REPT(" ",D165),INDEX(tblIndicators!$Z$2:$Z$58,$B165))</f>
        <v>   3.1.2) Pedestrian friendliness</v>
      </c>
      <c r="D165" s="24">
        <f>INDEX(tblIndicators!$D$2:$D$58,$B165)</f>
        <v>3</v>
      </c>
    </row>
    <row r="166" spans="1:4">
      <c r="A166" s="207" t="s">
        <v>193</v>
      </c>
      <c r="B166" s="24">
        <f>MATCH(A166,tblIndicators!$B$2:$B$58,0)</f>
        <v>32</v>
      </c>
      <c r="C166" s="24" t="str">
        <f>CONCATENATE(REPT(" ",D166),INDEX(tblIndicators!$Z$2:$Z$58,$B166))</f>
        <v>   3.1.3) Quality of road infrastructure</v>
      </c>
      <c r="D166" s="24">
        <f>INDEX(tblIndicators!$D$2:$D$58,$B166)</f>
        <v>3</v>
      </c>
    </row>
    <row r="167" spans="1:4">
      <c r="A167" s="207" t="s">
        <v>196</v>
      </c>
      <c r="B167" s="24">
        <f>MATCH(A167,tblIndicators!$B$2:$B$58,0)</f>
        <v>33</v>
      </c>
      <c r="C167" s="24" t="str">
        <f>CONCATENATE(REPT(" ",D167),INDEX(tblIndicators!$Z$2:$Z$58,$B167))</f>
        <v>   3.1.4) Quality of electricity infrastructure</v>
      </c>
      <c r="D167" s="24">
        <f>INDEX(tblIndicators!$D$2:$D$58,$B167)</f>
        <v>3</v>
      </c>
    </row>
    <row r="168" spans="1:4">
      <c r="A168" s="207" t="s">
        <v>199</v>
      </c>
      <c r="B168" s="24">
        <f>MATCH(A168,tblIndicators!$B$2:$B$58,0)</f>
        <v>34</v>
      </c>
      <c r="C168" s="24" t="str">
        <f>CONCATENATE(REPT(" ",D168),INDEX(tblIndicators!$Z$2:$Z$58,$B168))</f>
        <v>   3.1.5) Disaster Management/Business Continuity Plan</v>
      </c>
      <c r="D168" s="24">
        <f>INDEX(tblIndicators!$D$2:$D$58,$B168)</f>
        <v>3</v>
      </c>
    </row>
    <row r="169" spans="1:4">
      <c r="A169" s="205" t="s">
        <v>202</v>
      </c>
      <c r="B169" s="24">
        <f>MATCH(A169,tblIndicators!$B$2:$B$58,0)</f>
        <v>35</v>
      </c>
      <c r="C169" s="24" t="str">
        <f>CONCATENATE(REPT(" ",D169),INDEX(tblIndicators!$Z$2:$Z$58,$B169))</f>
        <v>  3.2) Infrastructure Safety (Outputs)</v>
      </c>
      <c r="D169" s="24">
        <f>INDEX(tblIndicators!$D$2:$D$58,$B169)</f>
        <v>2</v>
      </c>
    </row>
    <row r="170" spans="1:4">
      <c r="A170" s="207" t="s">
        <v>206</v>
      </c>
      <c r="B170" s="24">
        <f>MATCH(A170,tblIndicators!$B$2:$B$58,0)</f>
        <v>36</v>
      </c>
      <c r="C170" s="24" t="str">
        <f>CONCATENATE(REPT(" ",D170),INDEX(tblIndicators!$Z$2:$Z$58,$B170))</f>
        <v>   3.2.1) Death from natural disasters</v>
      </c>
      <c r="D170" s="24">
        <f>INDEX(tblIndicators!$D$2:$D$58,$B170)</f>
        <v>3</v>
      </c>
    </row>
    <row r="171" spans="1:4">
      <c r="A171" s="207" t="s">
        <v>211</v>
      </c>
      <c r="B171" s="24">
        <f>MATCH(A171,tblIndicators!$B$2:$B$58,0)</f>
        <v>37</v>
      </c>
      <c r="C171" s="24" t="str">
        <f>CONCATENATE(REPT(" ",D171),INDEX(tblIndicators!$Z$2:$Z$58,$B171))</f>
        <v>   3.2.2) Frequency of vehicular accidents</v>
      </c>
      <c r="D171" s="24">
        <f>INDEX(tblIndicators!$D$2:$D$58,$B171)</f>
        <v>3</v>
      </c>
    </row>
    <row r="172" spans="1:4">
      <c r="A172" s="207" t="s">
        <v>215</v>
      </c>
      <c r="B172" s="24">
        <f>MATCH(A172,tblIndicators!$B$2:$B$58,0)</f>
        <v>38</v>
      </c>
      <c r="C172" s="24" t="str">
        <f>CONCATENATE(REPT(" ",D172),INDEX(tblIndicators!$Z$2:$Z$58,$B172))</f>
        <v>   3.2.3) Frequency of pedestrian deaths</v>
      </c>
      <c r="D172" s="24">
        <f>INDEX(tblIndicators!$D$2:$D$58,$B172)</f>
        <v>3</v>
      </c>
    </row>
    <row r="173" spans="1:4">
      <c r="A173" s="207" t="s">
        <v>218</v>
      </c>
      <c r="B173" s="24">
        <f>MATCH(A173,tblIndicators!$B$2:$B$58,0)</f>
        <v>39</v>
      </c>
      <c r="C173" s="24" t="str">
        <f>CONCATENATE(REPT(" ",D173),INDEX(tblIndicators!$Z$2:$Z$58,$B173))</f>
        <v>   3.2.4) Percent living in urban slums</v>
      </c>
      <c r="D173" s="24">
        <f>INDEX(tblIndicators!$D$2:$D$58,$B173)</f>
        <v>3</v>
      </c>
    </row>
    <row r="174" spans="1:4">
      <c r="A174" s="209" t="s">
        <v>221</v>
      </c>
      <c r="B174" s="24">
        <f>MATCH(A174,tblIndicators!$B$2:$B$58,0)</f>
        <v>40</v>
      </c>
      <c r="C174" s="24" t="str">
        <f>CONCATENATE(REPT(" ",D174),INDEX(tblIndicators!$Z$2:$Z$58,$B174))</f>
        <v> 4) PERSONAL SAFETY</v>
      </c>
      <c r="D174" s="24">
        <f>INDEX(tblIndicators!$D$2:$D$58,$B174)</f>
        <v>1</v>
      </c>
    </row>
    <row r="175" spans="1:4">
      <c r="A175" s="205" t="s">
        <v>224</v>
      </c>
      <c r="B175" s="24">
        <f>MATCH(A175,tblIndicators!$B$2:$B$58,0)</f>
        <v>41</v>
      </c>
      <c r="C175" s="24" t="str">
        <f>CONCATENATE(REPT(" ",D175),INDEX(tblIndicators!$Z$2:$Z$58,$B175))</f>
        <v>  4.1) Personal Safety (Inputs)</v>
      </c>
      <c r="D175" s="24">
        <f>INDEX(tblIndicators!$D$2:$D$58,$B175)</f>
        <v>2</v>
      </c>
    </row>
    <row r="176" spans="1:4">
      <c r="A176" s="207" t="s">
        <v>228</v>
      </c>
      <c r="B176" s="24">
        <f>MATCH(A176,tblIndicators!$B$2:$B$58,0)</f>
        <v>42</v>
      </c>
      <c r="C176" s="24" t="str">
        <f>CONCATENATE(REPT(" ",D176),INDEX(tblIndicators!$Z$2:$Z$58,$B176))</f>
        <v>   4.1.1) Level of police engagement</v>
      </c>
      <c r="D176" s="24">
        <f>INDEX(tblIndicators!$D$2:$D$58,$B176)</f>
        <v>3</v>
      </c>
    </row>
    <row r="177" spans="1:4">
      <c r="A177" s="207" t="s">
        <v>233</v>
      </c>
      <c r="B177" s="24">
        <f>MATCH(A177,tblIndicators!$B$2:$B$58,0)</f>
        <v>43</v>
      </c>
      <c r="C177" s="24" t="str">
        <f>CONCATENATE(REPT(" ",D177),INDEX(tblIndicators!$Z$2:$Z$58,$B177))</f>
        <v>   4.1.2) Community-based patrolling</v>
      </c>
      <c r="D177" s="24">
        <f>INDEX(tblIndicators!$D$2:$D$58,$B177)</f>
        <v>3</v>
      </c>
    </row>
    <row r="178" spans="1:4">
      <c r="A178" s="207" t="s">
        <v>238</v>
      </c>
      <c r="B178" s="24">
        <f>MATCH(A178,tblIndicators!$B$2:$B$58,0)</f>
        <v>44</v>
      </c>
      <c r="C178" s="24" t="str">
        <f>CONCATENATE(REPT(" ",D178),INDEX(tblIndicators!$Z$2:$Z$58,$B178))</f>
        <v>   4.1.3) Availability of street-level crime data</v>
      </c>
      <c r="D178" s="24">
        <f>INDEX(tblIndicators!$D$2:$D$58,$B178)</f>
        <v>3</v>
      </c>
    </row>
    <row r="179" spans="1:4">
      <c r="A179" s="207" t="s">
        <v>241</v>
      </c>
      <c r="B179" s="24">
        <f>MATCH(A179,tblIndicators!$B$2:$B$58,0)</f>
        <v>45</v>
      </c>
      <c r="C179" s="24" t="str">
        <f>CONCATENATE(REPT(" ",D179),INDEX(tblIndicators!$Z$2:$Z$58,$B179))</f>
        <v>   4.1.4) Use of data-driven techniques for crime</v>
      </c>
      <c r="D179" s="24">
        <f>INDEX(tblIndicators!$D$2:$D$58,$B179)</f>
        <v>3</v>
      </c>
    </row>
    <row r="180" spans="1:4">
      <c r="A180" s="207" t="s">
        <v>244</v>
      </c>
      <c r="B180" s="24">
        <f>MATCH(A180,tblIndicators!$B$2:$B$58,0)</f>
        <v>46</v>
      </c>
      <c r="C180" s="24" t="str">
        <f>CONCATENATE(REPT(" ",D180),INDEX(tblIndicators!$Z$2:$Z$58,$B180))</f>
        <v>   4.1.5) Private security measures</v>
      </c>
      <c r="D180" s="24">
        <f>INDEX(tblIndicators!$D$2:$D$58,$B180)</f>
        <v>3</v>
      </c>
    </row>
    <row r="181" spans="1:4">
      <c r="A181" s="207" t="s">
        <v>247</v>
      </c>
      <c r="B181" s="24">
        <f>MATCH(A181,tblIndicators!$B$2:$B$58,0)</f>
        <v>47</v>
      </c>
      <c r="C181" s="24" t="str">
        <f>CONCATENATE(REPT(" ",D181),INDEX(tblIndicators!$Z$2:$Z$58,$B181))</f>
        <v>   4.1.6) Gun regulation and enforcement</v>
      </c>
      <c r="D181" s="24">
        <f>INDEX(tblIndicators!$D$2:$D$58,$B181)</f>
        <v>3</v>
      </c>
    </row>
    <row r="182" spans="1:4">
      <c r="A182" s="207" t="s">
        <v>251</v>
      </c>
      <c r="B182" s="24">
        <f>MATCH(A182,tblIndicators!$B$2:$B$58,0)</f>
        <v>48</v>
      </c>
      <c r="C182" s="24" t="str">
        <f>CONCATENATE(REPT(" ",D182),INDEX(tblIndicators!$Z$2:$Z$58,$B182))</f>
        <v>   4.1.7) Political Stability Risk</v>
      </c>
      <c r="D182" s="24">
        <f>INDEX(tblIndicators!$D$2:$D$58,$B182)</f>
        <v>3</v>
      </c>
    </row>
    <row r="183" spans="1:4">
      <c r="A183" s="205" t="s">
        <v>255</v>
      </c>
      <c r="B183" s="24">
        <f>MATCH(A183,tblIndicators!$B$2:$B$58,0)</f>
        <v>49</v>
      </c>
      <c r="C183" s="24" t="str">
        <f>CONCATENATE(REPT(" ",D183),INDEX(tblIndicators!$Z$2:$Z$58,$B183))</f>
        <v>  4.2) Personal Safety (Outputs)</v>
      </c>
      <c r="D183" s="24">
        <f>INDEX(tblIndicators!$D$2:$D$58,$B183)</f>
        <v>2</v>
      </c>
    </row>
    <row r="184" spans="1:4">
      <c r="A184" s="207" t="s">
        <v>259</v>
      </c>
      <c r="B184" s="24">
        <f>MATCH(A184,tblIndicators!$B$2:$B$58,0)</f>
        <v>50</v>
      </c>
      <c r="C184" s="24" t="str">
        <f>CONCATENATE(REPT(" ",D184),INDEX(tblIndicators!$Z$2:$Z$58,$B184))</f>
        <v>   4.2.1) Prevalence of petty crime</v>
      </c>
      <c r="D184" s="24">
        <f>INDEX(tblIndicators!$D$2:$D$58,$B184)</f>
        <v>3</v>
      </c>
    </row>
    <row r="185" spans="1:4">
      <c r="A185" s="207" t="s">
        <v>263</v>
      </c>
      <c r="B185" s="24">
        <f>MATCH(A185,tblIndicators!$B$2:$B$58,0)</f>
        <v>51</v>
      </c>
      <c r="C185" s="24" t="str">
        <f>CONCATENATE(REPT(" ",D185),INDEX(tblIndicators!$Z$2:$Z$58,$B185))</f>
        <v>   4.2.2) Prevalence of violence crime</v>
      </c>
      <c r="D185" s="24">
        <f>INDEX(tblIndicators!$D$2:$D$58,$B185)</f>
        <v>3</v>
      </c>
    </row>
    <row r="186" spans="1:4">
      <c r="A186" s="207" t="s">
        <v>266</v>
      </c>
      <c r="B186" s="24">
        <f>MATCH(A186,tblIndicators!$B$2:$B$58,0)</f>
        <v>52</v>
      </c>
      <c r="C186" s="24" t="str">
        <f>CONCATENATE(REPT(" ",D186),INDEX(tblIndicators!$Z$2:$Z$58,$B186))</f>
        <v>   4.2.3) Criminal gang activity</v>
      </c>
      <c r="D186" s="24">
        <f>INDEX(tblIndicators!$D$2:$D$58,$B186)</f>
        <v>3</v>
      </c>
    </row>
    <row r="187" spans="1:4">
      <c r="A187" s="207" t="s">
        <v>271</v>
      </c>
      <c r="B187" s="24">
        <f>MATCH(A187,tblIndicators!$B$2:$B$58,0)</f>
        <v>53</v>
      </c>
      <c r="C187" s="24" t="str">
        <f>CONCATENATE(REPT(" ",D187),INDEX(tblIndicators!$Z$2:$Z$58,$B187))</f>
        <v>   4.2.4) Level of corruption in police force</v>
      </c>
      <c r="D187" s="24">
        <f>INDEX(tblIndicators!$D$2:$D$58,$B187)</f>
        <v>3</v>
      </c>
    </row>
    <row r="188" spans="1:4">
      <c r="A188" s="207" t="s">
        <v>274</v>
      </c>
      <c r="B188" s="24">
        <f>MATCH(A188,tblIndicators!$B$2:$B$58,0)</f>
        <v>54</v>
      </c>
      <c r="C188" s="24" t="str">
        <f>CONCATENATE(REPT(" ",D188),INDEX(tblIndicators!$Z$2:$Z$58,$B188))</f>
        <v>   4.2.5) Rate of drug use</v>
      </c>
      <c r="D188" s="24">
        <f>INDEX(tblIndicators!$D$2:$D$58,$B188)</f>
        <v>3</v>
      </c>
    </row>
    <row r="189" spans="1:4">
      <c r="A189" s="207" t="s">
        <v>277</v>
      </c>
      <c r="B189" s="24">
        <f>MATCH(A189,tblIndicators!$B$2:$B$58,0)</f>
        <v>55</v>
      </c>
      <c r="C189" s="24" t="str">
        <f>CONCATENATE(REPT(" ",D189),INDEX(tblIndicators!$Z$2:$Z$58,$B189))</f>
        <v>   4.2.6) Frequency of terrorist attacks</v>
      </c>
      <c r="D189" s="24">
        <f>INDEX(tblIndicators!$D$2:$D$58,$B189)</f>
        <v>3</v>
      </c>
    </row>
    <row r="190" spans="1:4">
      <c r="A190" s="207" t="s">
        <v>282</v>
      </c>
      <c r="B190" s="24">
        <f>MATCH(A190,tblIndicators!$B$2:$B$58,0)</f>
        <v>56</v>
      </c>
      <c r="C190" s="24" t="str">
        <f>CONCATENATE(REPT(" ",D190),INDEX(tblIndicators!$Z$2:$Z$58,$B190))</f>
        <v>   4.2.7) Gender safety</v>
      </c>
      <c r="D190" s="24">
        <f>INDEX(tblIndicators!$D$2:$D$58,$B190)</f>
        <v>3</v>
      </c>
    </row>
    <row r="191" spans="1:4">
      <c r="A191" s="207" t="s">
        <v>287</v>
      </c>
      <c r="B191" s="24">
        <f>MATCH(A191,tblIndicators!$B$2:$B$58,0)</f>
        <v>57</v>
      </c>
      <c r="C191" s="24" t="str">
        <f>CONCATENATE(REPT(" ",D191),INDEX(tblIndicators!$Z$2:$Z$58,$B191))</f>
        <v>   4.2.8) Perceptions of safety</v>
      </c>
      <c r="D191" s="24">
        <f>INDEX(tblIndicators!$D$2:$D$58,$B191)</f>
        <v>3</v>
      </c>
    </row>
    <row r="194" spans="1:1">
      <c r="A194" s="24" t="s">
        <v>299</v>
      </c>
    </row>
    <row r="195" spans="1:5">
      <c r="A195" s="207" t="s">
        <v>75</v>
      </c>
      <c r="B195" s="24">
        <f>MATCH(A195,tblIndicators!$B$2:$B$58,0)</f>
        <v>4</v>
      </c>
      <c r="C195" s="24" t="str">
        <f>INDEX(tblIndicators!$Z$2:$Z$58,$B195)</f>
        <v>1.1.1) Privacy policy</v>
      </c>
      <c r="D195" s="24">
        <f>INDEX(tblIndicators!$D$2:$D$58,$B195)</f>
        <v>3</v>
      </c>
      <c r="E195" s="24" t="str">
        <f>INDEX(tblIndicators!$J$2:$J$58,$B195)</f>
        <v>Scale 0-5</v>
      </c>
    </row>
    <row r="196" spans="1:5">
      <c r="A196" s="207" t="s">
        <v>81</v>
      </c>
      <c r="B196" s="24">
        <f>MATCH(A196,tblIndicators!$B$2:$B$58,0)</f>
        <v>5</v>
      </c>
      <c r="C196" s="24" t="str">
        <f>INDEX(tblIndicators!$Z$2:$Z$58,$B196)</f>
        <v>1.1.2) Citizen awareness of digital threats</v>
      </c>
      <c r="D196" s="24">
        <f>INDEX(tblIndicators!$D$2:$D$58,$B196)</f>
        <v>3</v>
      </c>
      <c r="E196" s="24" t="str">
        <f>INDEX(tblIndicators!$J$2:$J$58,$B196)</f>
        <v>Scale 0-3</v>
      </c>
    </row>
    <row r="197" spans="1:5">
      <c r="A197" s="207" t="s">
        <v>86</v>
      </c>
      <c r="B197" s="24">
        <f>MATCH(A197,tblIndicators!$B$2:$B$58,0)</f>
        <v>6</v>
      </c>
      <c r="C197" s="24" t="str">
        <f>INDEX(tblIndicators!$Z$2:$Z$58,$B197)</f>
        <v>1.1.3) City reliance on digital infrastructure</v>
      </c>
      <c r="D197" s="24">
        <f>INDEX(tblIndicators!$D$2:$D$58,$B197)</f>
        <v>3</v>
      </c>
      <c r="E197" s="24" t="str">
        <f>INDEX(tblIndicators!$J$2:$J$58,$B197)</f>
        <v>Scale 0-2</v>
      </c>
    </row>
    <row r="198" spans="1:5">
      <c r="A198" s="207" t="s">
        <v>91</v>
      </c>
      <c r="B198" s="24">
        <f>MATCH(A198,tblIndicators!$B$2:$B$58,0)</f>
        <v>7</v>
      </c>
      <c r="C198" s="24" t="str">
        <f>INDEX(tblIndicators!$Z$2:$Z$58,$B198)</f>
        <v>1.1.4) Public-private partnerships</v>
      </c>
      <c r="D198" s="24">
        <f>INDEX(tblIndicators!$D$2:$D$58,$B198)</f>
        <v>3</v>
      </c>
      <c r="E198" s="24" t="str">
        <f>INDEX(tblIndicators!$J$2:$J$58,$B198)</f>
        <v>Scale 0-2</v>
      </c>
    </row>
    <row r="199" spans="1:5">
      <c r="A199" s="207" t="s">
        <v>95</v>
      </c>
      <c r="B199" s="24">
        <f>MATCH(A199,tblIndicators!$B$2:$B$58,0)</f>
        <v>8</v>
      </c>
      <c r="C199" s="24" t="str">
        <f>INDEX(tblIndicators!$Z$2:$Z$58,$B199)</f>
        <v>1.1.5) Level of technology employed</v>
      </c>
      <c r="D199" s="24">
        <f>INDEX(tblIndicators!$D$2:$D$58,$B199)</f>
        <v>3</v>
      </c>
      <c r="E199" s="24" t="str">
        <f>INDEX(tblIndicators!$J$2:$J$58,$B199)</f>
        <v>Scale 0-100</v>
      </c>
    </row>
    <row r="200" spans="1:5">
      <c r="A200" s="207" t="s">
        <v>100</v>
      </c>
      <c r="B200" s="24">
        <f>MATCH(A200,tblIndicators!$B$2:$B$58,0)</f>
        <v>9</v>
      </c>
      <c r="C200" s="24" t="str">
        <f>INDEX(tblIndicators!$Z$2:$Z$58,$B200)</f>
        <v>1.1.6) Dedicated cyber security teams</v>
      </c>
      <c r="D200" s="24">
        <f>INDEX(tblIndicators!$D$2:$D$58,$B200)</f>
        <v>3</v>
      </c>
      <c r="E200" s="24" t="str">
        <f>INDEX(tblIndicators!$J$2:$J$58,$B200)</f>
        <v>Scale 0-2</v>
      </c>
    </row>
    <row r="201" spans="1:5">
      <c r="A201" s="207" t="s">
        <v>109</v>
      </c>
      <c r="B201" s="24">
        <f>MATCH(A201,tblIndicators!$B$2:$B$58,0)</f>
        <v>11</v>
      </c>
      <c r="C201" s="24" t="str">
        <f>INDEX(tblIndicators!$Z$2:$Z$58,$B201)</f>
        <v>1.2.1) Frequency of identity theft</v>
      </c>
      <c r="D201" s="24">
        <f>INDEX(tblIndicators!$D$2:$D$58,$B201)</f>
        <v>3</v>
      </c>
      <c r="E201" s="24" t="str">
        <f>INDEX(tblIndicators!$J$2:$J$58,$B201)</f>
        <v>%</v>
      </c>
    </row>
    <row r="202" spans="1:5">
      <c r="A202" s="207" t="s">
        <v>114</v>
      </c>
      <c r="B202" s="24">
        <f>MATCH(A202,tblIndicators!$B$2:$B$58,0)</f>
        <v>12</v>
      </c>
      <c r="C202" s="24" t="str">
        <f>INDEX(tblIndicators!$Z$2:$Z$58,$B202)</f>
        <v>1.2.2) Precentage of computers infected</v>
      </c>
      <c r="D202" s="24">
        <f>INDEX(tblIndicators!$D$2:$D$58,$B202)</f>
        <v>3</v>
      </c>
      <c r="E202" s="24" t="str">
        <f>INDEX(tblIndicators!$J$2:$J$58,$B202)</f>
        <v>Scale 1-5 (1 best, 5 worst)</v>
      </c>
    </row>
    <row r="203" spans="1:5">
      <c r="A203" s="207" t="s">
        <v>118</v>
      </c>
      <c r="B203" s="24">
        <f>MATCH(A203,tblIndicators!$B$2:$B$58,0)</f>
        <v>13</v>
      </c>
      <c r="C203" s="24" t="str">
        <f>INDEX(tblIndicators!$Z$2:$Z$58,$B203)</f>
        <v>1.2.3) Percent with internet access</v>
      </c>
      <c r="D203" s="24">
        <f>INDEX(tblIndicators!$D$2:$D$58,$B203)</f>
        <v>3</v>
      </c>
      <c r="E203" s="24" t="str">
        <f>INDEX(tblIndicators!$J$2:$J$58,$B203)</f>
        <v>%</v>
      </c>
    </row>
    <row r="204" spans="1:5">
      <c r="A204" s="207" t="s">
        <v>130</v>
      </c>
      <c r="B204" s="24">
        <f>MATCH(A204,tblIndicators!$B$2:$B$58,0)</f>
        <v>16</v>
      </c>
      <c r="C204" s="24" t="str">
        <f>INDEX(tblIndicators!$Z$2:$Z$58,$B204)</f>
        <v>2.1.1) Environmental policies</v>
      </c>
      <c r="D204" s="24">
        <f>INDEX(tblIndicators!$D$2:$D$58,$B204)</f>
        <v>3</v>
      </c>
      <c r="E204" s="24" t="str">
        <f>INDEX(tblIndicators!$J$2:$J$58,$B204)</f>
        <v>Scale 0-100</v>
      </c>
    </row>
    <row r="205" spans="1:5">
      <c r="A205" s="207" t="s">
        <v>134</v>
      </c>
      <c r="B205" s="24">
        <f>MATCH(A205,tblIndicators!$B$2:$B$58,0)</f>
        <v>17</v>
      </c>
      <c r="C205" s="24" t="str">
        <f>INDEX(tblIndicators!$Z$2:$Z$58,$B205)</f>
        <v>2.1.2) Access to healthcare</v>
      </c>
      <c r="D205" s="24">
        <f>INDEX(tblIndicators!$D$2:$D$58,$B205)</f>
        <v>3</v>
      </c>
      <c r="E205" s="24" t="str">
        <f>INDEX(tblIndicators!$J$2:$J$58,$B205)</f>
        <v>Scale 0-100</v>
      </c>
    </row>
    <row r="206" spans="1:5">
      <c r="A206" s="207" t="s">
        <v>138</v>
      </c>
      <c r="B206" s="24">
        <f>MATCH(A206,tblIndicators!$B$2:$B$58,0)</f>
        <v>18</v>
      </c>
      <c r="C206" s="24" t="str">
        <f>INDEX(tblIndicators!$Z$2:$Z$58,$B206)</f>
        <v>2.1.3) No. of beds per 1000</v>
      </c>
      <c r="D206" s="24">
        <f>INDEX(tblIndicators!$D$2:$D$58,$B206)</f>
        <v>3</v>
      </c>
      <c r="E206" s="24" t="str">
        <f>INDEX(tblIndicators!$J$2:$J$58,$B206)</f>
        <v>#/1000</v>
      </c>
    </row>
    <row r="207" spans="1:5">
      <c r="A207" s="207" t="s">
        <v>143</v>
      </c>
      <c r="B207" s="24">
        <f>MATCH(A207,tblIndicators!$B$2:$B$58,0)</f>
        <v>19</v>
      </c>
      <c r="C207" s="24" t="str">
        <f>INDEX(tblIndicators!$Z$2:$Z$58,$B207)</f>
        <v>2.1.4) Number of doctors per 1000</v>
      </c>
      <c r="D207" s="24">
        <f>INDEX(tblIndicators!$D$2:$D$58,$B207)</f>
        <v>3</v>
      </c>
      <c r="E207" s="24" t="str">
        <f>INDEX(tblIndicators!$J$2:$J$58,$B207)</f>
        <v>#/1000</v>
      </c>
    </row>
    <row r="208" spans="1:5">
      <c r="A208" s="207" t="s">
        <v>146</v>
      </c>
      <c r="B208" s="24">
        <f>MATCH(A208,tblIndicators!$B$2:$B$58,0)</f>
        <v>20</v>
      </c>
      <c r="C208" s="24" t="str">
        <f>INDEX(tblIndicators!$Z$2:$Z$58,$B208)</f>
        <v>2.1.5) Access to safe and quality food</v>
      </c>
      <c r="D208" s="24">
        <f>INDEX(tblIndicators!$D$2:$D$58,$B208)</f>
        <v>3</v>
      </c>
      <c r="E208" s="24" t="str">
        <f>INDEX(tblIndicators!$J$2:$J$58,$B208)</f>
        <v>Scale 1-100</v>
      </c>
    </row>
    <row r="209" spans="1:5">
      <c r="A209" s="207" t="s">
        <v>150</v>
      </c>
      <c r="B209" s="24">
        <f>MATCH(A209,tblIndicators!$B$2:$B$58,0)</f>
        <v>21</v>
      </c>
      <c r="C209" s="24" t="str">
        <f>INDEX(tblIndicators!$Z$2:$Z$58,$B209)</f>
        <v>2.1.6) Quality of health services</v>
      </c>
      <c r="D209" s="24">
        <f>INDEX(tblIndicators!$D$2:$D$58,$B209)</f>
        <v>3</v>
      </c>
      <c r="E209" s="24" t="str">
        <f>INDEX(tblIndicators!$J$2:$J$58,$B209)</f>
        <v>Scale 1-5</v>
      </c>
    </row>
    <row r="210" spans="1:5">
      <c r="A210" s="207" t="s">
        <v>158</v>
      </c>
      <c r="B210" s="24">
        <f>MATCH(A210,tblIndicators!$B$2:$B$58,0)</f>
        <v>23</v>
      </c>
      <c r="C210" s="24" t="str">
        <f>INDEX(tblIndicators!$Z$2:$Z$58,$B210)</f>
        <v>2.2.1) Air quality</v>
      </c>
      <c r="D210" s="24">
        <f>INDEX(tblIndicators!$D$2:$D$58,$B210)</f>
        <v>3</v>
      </c>
      <c r="E210" s="24" t="str">
        <f>INDEX(tblIndicators!$J$2:$J$58,$B210)</f>
        <v>PM 2.5 levels</v>
      </c>
    </row>
    <row r="211" spans="1:5">
      <c r="A211" s="207" t="s">
        <v>162</v>
      </c>
      <c r="B211" s="24">
        <f>MATCH(A211,tblIndicators!$B$2:$B$58,0)</f>
        <v>24</v>
      </c>
      <c r="C211" s="24" t="str">
        <f>INDEX(tblIndicators!$Z$2:$Z$58,$B211)</f>
        <v>2.2.2) Water quality</v>
      </c>
      <c r="D211" s="24">
        <f>INDEX(tblIndicators!$D$2:$D$58,$B211)</f>
        <v>3</v>
      </c>
      <c r="E211" s="24" t="str">
        <f>INDEX(tblIndicators!$J$2:$J$58,$B211)</f>
        <v>Scale 1-100</v>
      </c>
    </row>
    <row r="212" spans="1:5">
      <c r="A212" s="207" t="s">
        <v>165</v>
      </c>
      <c r="B212" s="24">
        <f>MATCH(A212,tblIndicators!$B$2:$B$58,0)</f>
        <v>25</v>
      </c>
      <c r="C212" s="24" t="str">
        <f>INDEX(tblIndicators!$Z$2:$Z$58,$B212)</f>
        <v>2.2.3) Life expectancy</v>
      </c>
      <c r="D212" s="24">
        <f>INDEX(tblIndicators!$D$2:$D$58,$B212)</f>
        <v>3</v>
      </c>
      <c r="E212" s="24" t="str">
        <f>INDEX(tblIndicators!$J$2:$J$58,$B212)</f>
        <v>Years (Higher yrs, better)</v>
      </c>
    </row>
    <row r="213" spans="1:5">
      <c r="A213" s="207" t="s">
        <v>170</v>
      </c>
      <c r="B213" s="24">
        <f>MATCH(A213,tblIndicators!$B$2:$B$58,0)</f>
        <v>26</v>
      </c>
      <c r="C213" s="24" t="str">
        <f>INDEX(tblIndicators!$Z$2:$Z$58,$B213)</f>
        <v>2.2.4) Infant mortality (deaths per 1,000 live births)</v>
      </c>
      <c r="D213" s="24">
        <f>INDEX(tblIndicators!$D$2:$D$58,$B213)</f>
        <v>3</v>
      </c>
      <c r="E213" s="24" t="str">
        <f>INDEX(tblIndicators!$J$2:$J$58,$B213)</f>
        <v>Deaths per 1,000 births</v>
      </c>
    </row>
    <row r="214" spans="1:5">
      <c r="A214" s="207" t="s">
        <v>174</v>
      </c>
      <c r="B214" s="24">
        <f>MATCH(A214,tblIndicators!$B$2:$B$58,0)</f>
        <v>27</v>
      </c>
      <c r="C214" s="24" t="str">
        <f>INDEX(tblIndicators!$Z$2:$Z$58,$B214)</f>
        <v>2.2.5) Cancer mortality rate ( Cancer deaths per 100,000)</v>
      </c>
      <c r="D214" s="24">
        <f>INDEX(tblIndicators!$D$2:$D$58,$B214)</f>
        <v>3</v>
      </c>
      <c r="E214" s="24" t="str">
        <f>INDEX(tblIndicators!$J$2:$J$58,$B214)</f>
        <v>Cancer deaths per 100,000</v>
      </c>
    </row>
    <row r="215" spans="1:5">
      <c r="A215" s="207" t="s">
        <v>186</v>
      </c>
      <c r="B215" s="24">
        <f>MATCH(A215,tblIndicators!$B$2:$B$58,0)</f>
        <v>30</v>
      </c>
      <c r="C215" s="24" t="str">
        <f>INDEX(tblIndicators!$Z$2:$Z$58,$B215)</f>
        <v>3.1.1) Enforcement of transport safety</v>
      </c>
      <c r="D215" s="24">
        <f>INDEX(tblIndicators!$D$2:$D$58,$B215)</f>
        <v>3</v>
      </c>
      <c r="E215" s="24" t="str">
        <f>INDEX(tblIndicators!$J$2:$J$58,$B215)</f>
        <v>Scale 0-10</v>
      </c>
    </row>
    <row r="216" spans="1:5">
      <c r="A216" s="207" t="s">
        <v>190</v>
      </c>
      <c r="B216" s="24">
        <f>MATCH(A216,tblIndicators!$B$2:$B$58,0)</f>
        <v>31</v>
      </c>
      <c r="C216" s="24" t="str">
        <f>INDEX(tblIndicators!$Z$2:$Z$58,$B216)</f>
        <v>3.1.2) Pedestrian friendliness</v>
      </c>
      <c r="D216" s="24">
        <f>INDEX(tblIndicators!$D$2:$D$58,$B216)</f>
        <v>3</v>
      </c>
      <c r="E216" s="24" t="str">
        <f>INDEX(tblIndicators!$J$2:$J$58,$B216)</f>
        <v>Scale 1-5</v>
      </c>
    </row>
    <row r="217" spans="1:5">
      <c r="A217" s="207" t="s">
        <v>193</v>
      </c>
      <c r="B217" s="24">
        <f>MATCH(A217,tblIndicators!$B$2:$B$58,0)</f>
        <v>32</v>
      </c>
      <c r="C217" s="24" t="str">
        <f>INDEX(tblIndicators!$Z$2:$Z$58,$B217)</f>
        <v>3.1.3) Quality of road infrastructure</v>
      </c>
      <c r="D217" s="24">
        <f>INDEX(tblIndicators!$D$2:$D$58,$B217)</f>
        <v>3</v>
      </c>
      <c r="E217" s="24" t="str">
        <f>INDEX(tblIndicators!$J$2:$J$58,$B217)</f>
        <v>Scale 1-5</v>
      </c>
    </row>
    <row r="218" spans="1:5">
      <c r="A218" s="207" t="s">
        <v>196</v>
      </c>
      <c r="B218" s="24">
        <f>MATCH(A218,tblIndicators!$B$2:$B$58,0)</f>
        <v>33</v>
      </c>
      <c r="C218" s="24" t="str">
        <f>INDEX(tblIndicators!$Z$2:$Z$58,$B218)</f>
        <v>3.1.4) Quality of electricity infrastructure</v>
      </c>
      <c r="D218" s="24">
        <f>INDEX(tblIndicators!$D$2:$D$58,$B218)</f>
        <v>3</v>
      </c>
      <c r="E218" s="24" t="str">
        <f>INDEX(tblIndicators!$J$2:$J$58,$B218)</f>
        <v>Scale 1-5</v>
      </c>
    </row>
    <row r="219" spans="1:5">
      <c r="A219" s="207" t="s">
        <v>199</v>
      </c>
      <c r="B219" s="24">
        <f>MATCH(A219,tblIndicators!$B$2:$B$58,0)</f>
        <v>34</v>
      </c>
      <c r="C219" s="24" t="str">
        <f>INDEX(tblIndicators!$Z$2:$Z$58,$B219)</f>
        <v>3.1.5) Disaster Management/Business Continuity Plan</v>
      </c>
      <c r="D219" s="24">
        <f>INDEX(tblIndicators!$D$2:$D$58,$B219)</f>
        <v>3</v>
      </c>
      <c r="E219" s="24" t="str">
        <f>INDEX(tblIndicators!$J$2:$J$58,$B219)</f>
        <v>Scale 1-5</v>
      </c>
    </row>
    <row r="220" spans="1:5">
      <c r="A220" s="207" t="s">
        <v>206</v>
      </c>
      <c r="B220" s="24">
        <f>MATCH(A220,tblIndicators!$B$2:$B$58,0)</f>
        <v>36</v>
      </c>
      <c r="C220" s="24" t="str">
        <f>INDEX(tblIndicators!$Z$2:$Z$58,$B220)</f>
        <v>3.2.1) Death from natural disasters</v>
      </c>
      <c r="D220" s="24">
        <f>INDEX(tblIndicators!$D$2:$D$58,$B220)</f>
        <v>3</v>
      </c>
      <c r="E220" s="24" t="str">
        <f>INDEX(tblIndicators!$J$2:$J$58,$B220)</f>
        <v>#/year/m</v>
      </c>
    </row>
    <row r="221" spans="1:5">
      <c r="A221" s="207" t="s">
        <v>211</v>
      </c>
      <c r="B221" s="24">
        <f>MATCH(A221,tblIndicators!$B$2:$B$58,0)</f>
        <v>37</v>
      </c>
      <c r="C221" s="24" t="str">
        <f>INDEX(tblIndicators!$Z$2:$Z$58,$B221)</f>
        <v>3.2.2) Frequency of vehicular accidents</v>
      </c>
      <c r="D221" s="24">
        <f>INDEX(tblIndicators!$D$2:$D$58,$B221)</f>
        <v>3</v>
      </c>
      <c r="E221" s="24" t="str">
        <f>INDEX(tblIndicators!$J$2:$J$58,$B221)</f>
        <v>#/year/m</v>
      </c>
    </row>
    <row r="222" spans="1:5">
      <c r="A222" s="207" t="s">
        <v>215</v>
      </c>
      <c r="B222" s="24">
        <f>MATCH(A222,tblIndicators!$B$2:$B$58,0)</f>
        <v>38</v>
      </c>
      <c r="C222" s="24" t="str">
        <f>INDEX(tblIndicators!$Z$2:$Z$58,$B222)</f>
        <v>3.2.3) Frequency of pedestrian deaths</v>
      </c>
      <c r="D222" s="24">
        <f>INDEX(tblIndicators!$D$2:$D$58,$B222)</f>
        <v>3</v>
      </c>
      <c r="E222" s="24" t="str">
        <f>INDEX(tblIndicators!$J$2:$J$58,$B222)</f>
        <v>#/year/m</v>
      </c>
    </row>
    <row r="223" spans="1:5">
      <c r="A223" s="207" t="s">
        <v>218</v>
      </c>
      <c r="B223" s="24">
        <f>MATCH(A223,tblIndicators!$B$2:$B$58,0)</f>
        <v>39</v>
      </c>
      <c r="C223" s="24" t="str">
        <f>INDEX(tblIndicators!$Z$2:$Z$58,$B223)</f>
        <v>3.2.4) Percent living in urban slums</v>
      </c>
      <c r="D223" s="24">
        <f>INDEX(tblIndicators!$D$2:$D$58,$B223)</f>
        <v>3</v>
      </c>
      <c r="E223" s="24" t="str">
        <f>INDEX(tblIndicators!$J$2:$J$58,$B223)</f>
        <v>%</v>
      </c>
    </row>
    <row r="224" spans="1:5">
      <c r="A224" s="207" t="s">
        <v>228</v>
      </c>
      <c r="B224" s="24">
        <f>MATCH(A224,tblIndicators!$B$2:$B$58,0)</f>
        <v>42</v>
      </c>
      <c r="C224" s="24" t="str">
        <f>INDEX(tblIndicators!$Z$2:$Z$58,$B224)</f>
        <v>4.1.1) Level of police engagement</v>
      </c>
      <c r="D224" s="24">
        <f>INDEX(tblIndicators!$D$2:$D$58,$B224)</f>
        <v>3</v>
      </c>
      <c r="E224" s="24" t="str">
        <f>INDEX(tblIndicators!$J$2:$J$58,$B224)</f>
        <v>Scale 0 - 1</v>
      </c>
    </row>
    <row r="225" spans="1:5">
      <c r="A225" s="207" t="s">
        <v>233</v>
      </c>
      <c r="B225" s="24">
        <f>MATCH(A225,tblIndicators!$B$2:$B$58,0)</f>
        <v>43</v>
      </c>
      <c r="C225" s="24" t="str">
        <f>INDEX(tblIndicators!$Z$2:$Z$58,$B225)</f>
        <v>4.1.2) Community-based patrolling</v>
      </c>
      <c r="D225" s="24">
        <f>INDEX(tblIndicators!$D$2:$D$58,$B225)</f>
        <v>3</v>
      </c>
      <c r="E225" s="24" t="str">
        <f>INDEX(tblIndicators!$J$2:$J$58,$B225)</f>
        <v>Score 0 - 1</v>
      </c>
    </row>
    <row r="226" spans="1:5">
      <c r="A226" s="207" t="s">
        <v>238</v>
      </c>
      <c r="B226" s="24">
        <f>MATCH(A226,tblIndicators!$B$2:$B$58,0)</f>
        <v>44</v>
      </c>
      <c r="C226" s="24" t="str">
        <f>INDEX(tblIndicators!$Z$2:$Z$58,$B226)</f>
        <v>4.1.3) Availability of street-level crime data</v>
      </c>
      <c r="D226" s="24">
        <f>INDEX(tblIndicators!$D$2:$D$58,$B226)</f>
        <v>3</v>
      </c>
      <c r="E226" s="24" t="str">
        <f>INDEX(tblIndicators!$J$2:$J$58,$B226)</f>
        <v>Score 0 - 1</v>
      </c>
    </row>
    <row r="227" spans="1:5">
      <c r="A227" s="207" t="s">
        <v>241</v>
      </c>
      <c r="B227" s="24">
        <f>MATCH(A227,tblIndicators!$B$2:$B$58,0)</f>
        <v>45</v>
      </c>
      <c r="C227" s="24" t="str">
        <f>INDEX(tblIndicators!$Z$2:$Z$58,$B227)</f>
        <v>4.1.4) Use of data-driven techniques for crime</v>
      </c>
      <c r="D227" s="24">
        <f>INDEX(tblIndicators!$D$2:$D$58,$B227)</f>
        <v>3</v>
      </c>
      <c r="E227" s="24" t="str">
        <f>INDEX(tblIndicators!$J$2:$J$58,$B227)</f>
        <v>Score 0 - 1</v>
      </c>
    </row>
    <row r="228" spans="1:5">
      <c r="A228" s="207" t="s">
        <v>244</v>
      </c>
      <c r="B228" s="24">
        <f>MATCH(A228,tblIndicators!$B$2:$B$58,0)</f>
        <v>46</v>
      </c>
      <c r="C228" s="24" t="str">
        <f>INDEX(tblIndicators!$Z$2:$Z$58,$B228)</f>
        <v>4.1.5) Private security measures</v>
      </c>
      <c r="D228" s="24">
        <f>INDEX(tblIndicators!$D$2:$D$58,$B228)</f>
        <v>3</v>
      </c>
      <c r="E228" s="24" t="str">
        <f>INDEX(tblIndicators!$J$2:$J$58,$B228)</f>
        <v>Score 0 - 1</v>
      </c>
    </row>
    <row r="229" spans="1:5">
      <c r="A229" s="207" t="s">
        <v>247</v>
      </c>
      <c r="B229" s="24">
        <f>MATCH(A229,tblIndicators!$B$2:$B$58,0)</f>
        <v>47</v>
      </c>
      <c r="C229" s="24" t="str">
        <f>INDEX(tblIndicators!$Z$2:$Z$58,$B229)</f>
        <v>4.1.6) Gun regulation and enforcement</v>
      </c>
      <c r="D229" s="24">
        <f>INDEX(tblIndicators!$D$2:$D$58,$B229)</f>
        <v>3</v>
      </c>
      <c r="E229" s="24" t="str">
        <f>INDEX(tblIndicators!$J$2:$J$58,$B229)</f>
        <v>Scale 0 - 10</v>
      </c>
    </row>
    <row r="230" spans="1:5">
      <c r="A230" s="207" t="s">
        <v>251</v>
      </c>
      <c r="B230" s="24">
        <f>MATCH(A230,tblIndicators!$B$2:$B$58,0)</f>
        <v>48</v>
      </c>
      <c r="C230" s="24" t="str">
        <f>INDEX(tblIndicators!$Z$2:$Z$58,$B230)</f>
        <v>4.1.7) Political Stability Risk</v>
      </c>
      <c r="D230" s="24">
        <f>INDEX(tblIndicators!$D$2:$D$58,$B230)</f>
        <v>3</v>
      </c>
      <c r="E230" s="24" t="str">
        <f>INDEX(tblIndicators!$J$2:$J$58,$B230)</f>
        <v>Scale 0 - 100</v>
      </c>
    </row>
    <row r="231" spans="1:5">
      <c r="A231" s="207" t="s">
        <v>259</v>
      </c>
      <c r="B231" s="24">
        <f>MATCH(A231,tblIndicators!$B$2:$B$58,0)</f>
        <v>50</v>
      </c>
      <c r="C231" s="24" t="str">
        <f>INDEX(tblIndicators!$Z$2:$Z$58,$B231)</f>
        <v>4.2.1) Prevalence of petty crime</v>
      </c>
      <c r="D231" s="24">
        <f>INDEX(tblIndicators!$D$2:$D$58,$B231)</f>
        <v>3</v>
      </c>
      <c r="E231" s="24" t="str">
        <f>INDEX(tblIndicators!$J$2:$J$58,$B231)</f>
        <v>EIU Rating</v>
      </c>
    </row>
    <row r="232" spans="1:5">
      <c r="A232" s="207" t="s">
        <v>263</v>
      </c>
      <c r="B232" s="24">
        <f>MATCH(A232,tblIndicators!$B$2:$B$58,0)</f>
        <v>51</v>
      </c>
      <c r="C232" s="24" t="str">
        <f>INDEX(tblIndicators!$Z$2:$Z$58,$B232)</f>
        <v>4.2.2) Prevalence of violence crime</v>
      </c>
      <c r="D232" s="24">
        <f>INDEX(tblIndicators!$D$2:$D$58,$B232)</f>
        <v>3</v>
      </c>
      <c r="E232" s="24" t="str">
        <f>INDEX(tblIndicators!$J$2:$J$58,$B232)</f>
        <v>EIU Rating</v>
      </c>
    </row>
    <row r="233" spans="1:5">
      <c r="A233" s="207" t="s">
        <v>266</v>
      </c>
      <c r="B233" s="24">
        <f>MATCH(A233,tblIndicators!$B$2:$B$58,0)</f>
        <v>52</v>
      </c>
      <c r="C233" s="24" t="str">
        <f>INDEX(tblIndicators!$Z$2:$Z$58,$B233)</f>
        <v>4.2.3) Criminal gang activity</v>
      </c>
      <c r="D233" s="24">
        <f>INDEX(tblIndicators!$D$2:$D$58,$B233)</f>
        <v>3</v>
      </c>
      <c r="E233" s="24" t="str">
        <f>INDEX(tblIndicators!$J$2:$J$58,$B233)</f>
        <v>US $ billions</v>
      </c>
    </row>
    <row r="234" spans="1:5">
      <c r="A234" s="207" t="s">
        <v>271</v>
      </c>
      <c r="B234" s="24">
        <f>MATCH(A234,tblIndicators!$B$2:$B$58,0)</f>
        <v>53</v>
      </c>
      <c r="C234" s="24" t="str">
        <f>INDEX(tblIndicators!$Z$2:$Z$58,$B234)</f>
        <v>4.2.4) Level of corruption in police force</v>
      </c>
      <c r="D234" s="24">
        <f>INDEX(tblIndicators!$D$2:$D$58,$B234)</f>
        <v>3</v>
      </c>
      <c r="E234" s="24" t="str">
        <f>INDEX(tblIndicators!$J$2:$J$58,$B234)</f>
        <v>Scale 0 - 100</v>
      </c>
    </row>
    <row r="235" spans="1:5">
      <c r="A235" s="207" t="s">
        <v>274</v>
      </c>
      <c r="B235" s="24">
        <f>MATCH(A235,tblIndicators!$B$2:$B$58,0)</f>
        <v>54</v>
      </c>
      <c r="C235" s="24" t="str">
        <f>INDEX(tblIndicators!$Z$2:$Z$58,$B235)</f>
        <v>4.2.5) Rate of drug use</v>
      </c>
      <c r="D235" s="24">
        <f>INDEX(tblIndicators!$D$2:$D$58,$B235)</f>
        <v>3</v>
      </c>
      <c r="E235" s="24" t="str">
        <f>INDEX(tblIndicators!$J$2:$J$58,$B235)</f>
        <v>%</v>
      </c>
    </row>
    <row r="236" spans="1:5">
      <c r="A236" s="207" t="s">
        <v>277</v>
      </c>
      <c r="B236" s="24">
        <f>MATCH(A236,tblIndicators!$B$2:$B$58,0)</f>
        <v>55</v>
      </c>
      <c r="C236" s="24" t="str">
        <f>INDEX(tblIndicators!$Z$2:$Z$58,$B236)</f>
        <v>4.2.6) Frequency of terrorist attacks</v>
      </c>
      <c r="D236" s="24">
        <f>INDEX(tblIndicators!$D$2:$D$58,$B236)</f>
        <v>3</v>
      </c>
      <c r="E236" s="24" t="str">
        <f>INDEX(tblIndicators!$J$2:$J$58,$B236)</f>
        <v>#/year</v>
      </c>
    </row>
    <row r="237" spans="1:5">
      <c r="A237" s="207" t="s">
        <v>282</v>
      </c>
      <c r="B237" s="24">
        <f>MATCH(A237,tblIndicators!$B$2:$B$58,0)</f>
        <v>56</v>
      </c>
      <c r="C237" s="24" t="str">
        <f>INDEX(tblIndicators!$Z$2:$Z$58,$B237)</f>
        <v>4.2.7) Gender safety</v>
      </c>
      <c r="D237" s="24">
        <f>INDEX(tblIndicators!$D$2:$D$58,$B237)</f>
        <v>3</v>
      </c>
      <c r="E237" s="24" t="str">
        <f>INDEX(tblIndicators!$J$2:$J$58,$B237)</f>
        <v>Index</v>
      </c>
    </row>
    <row r="238" spans="1:5">
      <c r="A238" s="207" t="s">
        <v>287</v>
      </c>
      <c r="B238" s="24">
        <f>MATCH(A238,tblIndicators!$B$2:$B$58,0)</f>
        <v>57</v>
      </c>
      <c r="C238" s="24" t="str">
        <f>INDEX(tblIndicators!$Z$2:$Z$58,$B238)</f>
        <v>4.2.8) Perceptions of safety</v>
      </c>
      <c r="D238" s="24">
        <f>INDEX(tblIndicators!$D$2:$D$58,$B238)</f>
        <v>3</v>
      </c>
      <c r="E238" s="24" t="str">
        <f>INDEX(tblIndicators!$J$2:$J$58,$B238)</f>
        <v>Scale 0 - 100</v>
      </c>
    </row>
    <row r="240" spans="1:1">
      <c r="A240" s="24" t="s">
        <v>300</v>
      </c>
    </row>
    <row r="241" spans="1:4">
      <c r="A241" s="208" t="s">
        <v>61</v>
      </c>
      <c r="B241" s="24">
        <f>MATCH(A241,tblIndicators!$B$2:$B$58,0)</f>
        <v>1</v>
      </c>
      <c r="C241" s="24" t="str">
        <f>CONCATENATE(REPT(" ",D241),INDEX(tblIndicators!$Z$2:$Z$58,$B241))</f>
        <v>TOTAL SCORE</v>
      </c>
      <c r="D241" s="24">
        <f>INDEX(tblIndicators!$D$2:$D$58,$B241)</f>
        <v>0</v>
      </c>
    </row>
    <row r="242" spans="1:4">
      <c r="A242" s="209" t="s">
        <v>64</v>
      </c>
      <c r="B242" s="24">
        <f>MATCH(A242,tblIndicators!$B$2:$B$58,0)</f>
        <v>2</v>
      </c>
      <c r="C242" s="24" t="str">
        <f>CONCATENATE(REPT(" ",D242),INDEX(tblIndicators!$Z$2:$Z$58,$B242))</f>
        <v> 1) DIGITAL SECURITY</v>
      </c>
      <c r="D242" s="24">
        <f>INDEX(tblIndicators!$D$2:$D$58,$B242)</f>
        <v>1</v>
      </c>
    </row>
    <row r="243" spans="1:4">
      <c r="A243" s="205" t="s">
        <v>68</v>
      </c>
      <c r="B243" s="24">
        <f>MATCH(A243,tblIndicators!$B$2:$B$58,0)</f>
        <v>3</v>
      </c>
      <c r="C243" s="24" t="str">
        <f>CONCATENATE(REPT(" ",D243),INDEX(tblIndicators!$Z$2:$Z$58,$B243))</f>
        <v>  1.1) Digital Security (Inputs)</v>
      </c>
      <c r="D243" s="24">
        <f>INDEX(tblIndicators!$D$2:$D$58,$B243)</f>
        <v>2</v>
      </c>
    </row>
    <row r="244" spans="1:4">
      <c r="A244" s="207" t="s">
        <v>75</v>
      </c>
      <c r="B244" s="24">
        <f>MATCH(A244,tblIndicators!$B$2:$B$58,0)</f>
        <v>4</v>
      </c>
      <c r="C244" s="24" t="str">
        <f>CONCATENATE(REPT(" ",D244),INDEX(tblIndicators!$Z$2:$Z$58,$B244))</f>
        <v>   1.1.1) Privacy policy</v>
      </c>
      <c r="D244" s="24">
        <f>INDEX(tblIndicators!$D$2:$D$58,$B244)</f>
        <v>3</v>
      </c>
    </row>
    <row r="245" spans="1:4">
      <c r="A245" s="207" t="s">
        <v>81</v>
      </c>
      <c r="B245" s="24">
        <f>MATCH(A245,tblIndicators!$B$2:$B$58,0)</f>
        <v>5</v>
      </c>
      <c r="C245" s="24" t="str">
        <f>CONCATENATE(REPT(" ",D245),INDEX(tblIndicators!$Z$2:$Z$58,$B245))</f>
        <v>   1.1.2) Citizen awareness of digital threats</v>
      </c>
      <c r="D245" s="24">
        <f>INDEX(tblIndicators!$D$2:$D$58,$B245)</f>
        <v>3</v>
      </c>
    </row>
    <row r="246" spans="1:4">
      <c r="A246" s="207" t="s">
        <v>86</v>
      </c>
      <c r="B246" s="24">
        <f>MATCH(A246,tblIndicators!$B$2:$B$58,0)</f>
        <v>6</v>
      </c>
      <c r="C246" s="24" t="str">
        <f>CONCATENATE(REPT(" ",D246),INDEX(tblIndicators!$Z$2:$Z$58,$B246))</f>
        <v>   1.1.3) City reliance on digital infrastructure</v>
      </c>
      <c r="D246" s="24">
        <f>INDEX(tblIndicators!$D$2:$D$58,$B246)</f>
        <v>3</v>
      </c>
    </row>
    <row r="247" spans="1:4">
      <c r="A247" s="207" t="s">
        <v>91</v>
      </c>
      <c r="B247" s="24">
        <f>MATCH(A247,tblIndicators!$B$2:$B$58,0)</f>
        <v>7</v>
      </c>
      <c r="C247" s="24" t="str">
        <f>CONCATENATE(REPT(" ",D247),INDEX(tblIndicators!$Z$2:$Z$58,$B247))</f>
        <v>   1.1.4) Public-private partnerships</v>
      </c>
      <c r="D247" s="24">
        <f>INDEX(tblIndicators!$D$2:$D$58,$B247)</f>
        <v>3</v>
      </c>
    </row>
    <row r="248" spans="1:4">
      <c r="A248" s="207" t="s">
        <v>95</v>
      </c>
      <c r="B248" s="24">
        <f>MATCH(A248,tblIndicators!$B$2:$B$58,0)</f>
        <v>8</v>
      </c>
      <c r="C248" s="24" t="str">
        <f>CONCATENATE(REPT(" ",D248),INDEX(tblIndicators!$Z$2:$Z$58,$B248))</f>
        <v>   1.1.5) Level of technology employed</v>
      </c>
      <c r="D248" s="24">
        <f>INDEX(tblIndicators!$D$2:$D$58,$B248)</f>
        <v>3</v>
      </c>
    </row>
    <row r="249" spans="1:4">
      <c r="A249" s="207" t="s">
        <v>100</v>
      </c>
      <c r="B249" s="24">
        <f>MATCH(A249,tblIndicators!$B$2:$B$58,0)</f>
        <v>9</v>
      </c>
      <c r="C249" s="24" t="str">
        <f>CONCATENATE(REPT(" ",D249),INDEX(tblIndicators!$Z$2:$Z$58,$B249))</f>
        <v>   1.1.6) Dedicated cyber security teams</v>
      </c>
      <c r="D249" s="24">
        <f>INDEX(tblIndicators!$D$2:$D$58,$B249)</f>
        <v>3</v>
      </c>
    </row>
    <row r="250" spans="1:4">
      <c r="A250" s="205" t="s">
        <v>104</v>
      </c>
      <c r="B250" s="24">
        <f>MATCH(A250,tblIndicators!$B$2:$B$58,0)</f>
        <v>10</v>
      </c>
      <c r="C250" s="24" t="str">
        <f>CONCATENATE(REPT(" ",D250),INDEX(tblIndicators!$Z$2:$Z$58,$B250))</f>
        <v>  1.2) Digital Security (Outputs)</v>
      </c>
      <c r="D250" s="24">
        <f>INDEX(tblIndicators!$D$2:$D$58,$B250)</f>
        <v>2</v>
      </c>
    </row>
    <row r="251" spans="1:4">
      <c r="A251" s="207" t="s">
        <v>109</v>
      </c>
      <c r="B251" s="24">
        <f>MATCH(A251,tblIndicators!$B$2:$B$58,0)</f>
        <v>11</v>
      </c>
      <c r="C251" s="24" t="str">
        <f>CONCATENATE(REPT(" ",D251),INDEX(tblIndicators!$Z$2:$Z$58,$B251))</f>
        <v>   1.2.1) Frequency of identity theft</v>
      </c>
      <c r="D251" s="24">
        <f>INDEX(tblIndicators!$D$2:$D$58,$B251)</f>
        <v>3</v>
      </c>
    </row>
    <row r="252" spans="1:4">
      <c r="A252" s="207" t="s">
        <v>114</v>
      </c>
      <c r="B252" s="24">
        <f>MATCH(A252,tblIndicators!$B$2:$B$58,0)</f>
        <v>12</v>
      </c>
      <c r="C252" s="24" t="str">
        <f>CONCATENATE(REPT(" ",D252),INDEX(tblIndicators!$Z$2:$Z$58,$B252))</f>
        <v>   1.2.2) Precentage of computers infected</v>
      </c>
      <c r="D252" s="24">
        <f>INDEX(tblIndicators!$D$2:$D$58,$B252)</f>
        <v>3</v>
      </c>
    </row>
    <row r="253" spans="1:4">
      <c r="A253" s="207" t="s">
        <v>118</v>
      </c>
      <c r="B253" s="24">
        <f>MATCH(A253,tblIndicators!$B$2:$B$58,0)</f>
        <v>13</v>
      </c>
      <c r="C253" s="24" t="str">
        <f>CONCATENATE(REPT(" ",D253),INDEX(tblIndicators!$Z$2:$Z$58,$B253))</f>
        <v>   1.2.3) Percent with internet access</v>
      </c>
      <c r="D253" s="24">
        <f>INDEX(tblIndicators!$D$2:$D$58,$B253)</f>
        <v>3</v>
      </c>
    </row>
    <row r="254" spans="1:4">
      <c r="A254" s="209" t="s">
        <v>122</v>
      </c>
      <c r="B254" s="24">
        <f>MATCH(A254,tblIndicators!$B$2:$B$58,0)</f>
        <v>14</v>
      </c>
      <c r="C254" s="24" t="str">
        <f>CONCATENATE(REPT(" ",D254),INDEX(tblIndicators!$Z$2:$Z$58,$B254))</f>
        <v> 2) HEALTH SECURITY</v>
      </c>
      <c r="D254" s="24">
        <f>INDEX(tblIndicators!$D$2:$D$58,$B254)</f>
        <v>1</v>
      </c>
    </row>
    <row r="255" spans="1:4">
      <c r="A255" s="205" t="s">
        <v>126</v>
      </c>
      <c r="B255" s="24">
        <f>MATCH(A255,tblIndicators!$B$2:$B$58,0)</f>
        <v>15</v>
      </c>
      <c r="C255" s="24" t="str">
        <f>CONCATENATE(REPT(" ",D255),INDEX(tblIndicators!$Z$2:$Z$58,$B255))</f>
        <v>  2.1) Health Security (Inputs)</v>
      </c>
      <c r="D255" s="24">
        <f>INDEX(tblIndicators!$D$2:$D$58,$B255)</f>
        <v>2</v>
      </c>
    </row>
    <row r="256" spans="1:4">
      <c r="A256" s="207" t="s">
        <v>130</v>
      </c>
      <c r="B256" s="24">
        <f>MATCH(A256,tblIndicators!$B$2:$B$58,0)</f>
        <v>16</v>
      </c>
      <c r="C256" s="24" t="str">
        <f>CONCATENATE(REPT(" ",D256),INDEX(tblIndicators!$Z$2:$Z$58,$B256))</f>
        <v>   2.1.1) Environmental policies</v>
      </c>
      <c r="D256" s="24">
        <f>INDEX(tblIndicators!$D$2:$D$58,$B256)</f>
        <v>3</v>
      </c>
    </row>
    <row r="257" spans="1:4">
      <c r="A257" s="207" t="s">
        <v>134</v>
      </c>
      <c r="B257" s="24">
        <f>MATCH(A257,tblIndicators!$B$2:$B$58,0)</f>
        <v>17</v>
      </c>
      <c r="C257" s="24" t="str">
        <f>CONCATENATE(REPT(" ",D257),INDEX(tblIndicators!$Z$2:$Z$58,$B257))</f>
        <v>   2.1.2) Access to healthcare</v>
      </c>
      <c r="D257" s="24">
        <f>INDEX(tblIndicators!$D$2:$D$58,$B257)</f>
        <v>3</v>
      </c>
    </row>
    <row r="258" spans="1:4">
      <c r="A258" s="207" t="s">
        <v>138</v>
      </c>
      <c r="B258" s="24">
        <f>MATCH(A258,tblIndicators!$B$2:$B$58,0)</f>
        <v>18</v>
      </c>
      <c r="C258" s="24" t="str">
        <f>CONCATENATE(REPT(" ",D258),INDEX(tblIndicators!$Z$2:$Z$58,$B258))</f>
        <v>   2.1.3) No. of beds per 1000</v>
      </c>
      <c r="D258" s="24">
        <f>INDEX(tblIndicators!$D$2:$D$58,$B258)</f>
        <v>3</v>
      </c>
    </row>
    <row r="259" spans="1:4">
      <c r="A259" s="207" t="s">
        <v>143</v>
      </c>
      <c r="B259" s="24">
        <f>MATCH(A259,tblIndicators!$B$2:$B$58,0)</f>
        <v>19</v>
      </c>
      <c r="C259" s="24" t="str">
        <f>CONCATENATE(REPT(" ",D259),INDEX(tblIndicators!$Z$2:$Z$58,$B259))</f>
        <v>   2.1.4) Number of doctors per 1000</v>
      </c>
      <c r="D259" s="24">
        <f>INDEX(tblIndicators!$D$2:$D$58,$B259)</f>
        <v>3</v>
      </c>
    </row>
    <row r="260" spans="1:4">
      <c r="A260" s="207" t="s">
        <v>146</v>
      </c>
      <c r="B260" s="24">
        <f>MATCH(A260,tblIndicators!$B$2:$B$58,0)</f>
        <v>20</v>
      </c>
      <c r="C260" s="24" t="str">
        <f>CONCATENATE(REPT(" ",D260),INDEX(tblIndicators!$Z$2:$Z$58,$B260))</f>
        <v>   2.1.5) Access to safe and quality food</v>
      </c>
      <c r="D260" s="24">
        <f>INDEX(tblIndicators!$D$2:$D$58,$B260)</f>
        <v>3</v>
      </c>
    </row>
    <row r="261" spans="1:4">
      <c r="A261" s="207" t="s">
        <v>150</v>
      </c>
      <c r="B261" s="24">
        <f>MATCH(A261,tblIndicators!$B$2:$B$58,0)</f>
        <v>21</v>
      </c>
      <c r="C261" s="24" t="str">
        <f>CONCATENATE(REPT(" ",D261),INDEX(tblIndicators!$Z$2:$Z$58,$B261))</f>
        <v>   2.1.6) Quality of health services</v>
      </c>
      <c r="D261" s="24">
        <f>INDEX(tblIndicators!$D$2:$D$58,$B261)</f>
        <v>3</v>
      </c>
    </row>
    <row r="262" spans="1:4">
      <c r="A262" s="205" t="s">
        <v>154</v>
      </c>
      <c r="B262" s="24">
        <f>MATCH(A262,tblIndicators!$B$2:$B$58,0)</f>
        <v>22</v>
      </c>
      <c r="C262" s="24" t="str">
        <f>CONCATENATE(REPT(" ",D262),INDEX(tblIndicators!$Z$2:$Z$58,$B262))</f>
        <v>  2.2) Health Security (Outputs)</v>
      </c>
      <c r="D262" s="24">
        <f>INDEX(tblIndicators!$D$2:$D$58,$B262)</f>
        <v>2</v>
      </c>
    </row>
    <row r="263" spans="1:4">
      <c r="A263" s="207" t="s">
        <v>158</v>
      </c>
      <c r="B263" s="24">
        <f>MATCH(A263,tblIndicators!$B$2:$B$58,0)</f>
        <v>23</v>
      </c>
      <c r="C263" s="24" t="str">
        <f>CONCATENATE(REPT(" ",D263),INDEX(tblIndicators!$Z$2:$Z$58,$B263))</f>
        <v>   2.2.1) Air quality</v>
      </c>
      <c r="D263" s="24">
        <f>INDEX(tblIndicators!$D$2:$D$58,$B263)</f>
        <v>3</v>
      </c>
    </row>
    <row r="264" spans="1:4">
      <c r="A264" s="207" t="s">
        <v>162</v>
      </c>
      <c r="B264" s="24">
        <f>MATCH(A264,tblIndicators!$B$2:$B$58,0)</f>
        <v>24</v>
      </c>
      <c r="C264" s="24" t="str">
        <f>CONCATENATE(REPT(" ",D264),INDEX(tblIndicators!$Z$2:$Z$58,$B264))</f>
        <v>   2.2.2) Water quality</v>
      </c>
      <c r="D264" s="24">
        <f>INDEX(tblIndicators!$D$2:$D$58,$B264)</f>
        <v>3</v>
      </c>
    </row>
    <row r="265" spans="1:4">
      <c r="A265" s="207" t="s">
        <v>165</v>
      </c>
      <c r="B265" s="24">
        <f>MATCH(A265,tblIndicators!$B$2:$B$58,0)</f>
        <v>25</v>
      </c>
      <c r="C265" s="24" t="str">
        <f>CONCATENATE(REPT(" ",D265),INDEX(tblIndicators!$Z$2:$Z$58,$B265))</f>
        <v>   2.2.3) Life expectancy</v>
      </c>
      <c r="D265" s="24">
        <f>INDEX(tblIndicators!$D$2:$D$58,$B265)</f>
        <v>3</v>
      </c>
    </row>
    <row r="266" spans="1:4">
      <c r="A266" s="207" t="s">
        <v>170</v>
      </c>
      <c r="B266" s="24">
        <f>MATCH(A266,tblIndicators!$B$2:$B$58,0)</f>
        <v>26</v>
      </c>
      <c r="C266" s="24" t="str">
        <f>CONCATENATE(REPT(" ",D266),INDEX(tblIndicators!$Z$2:$Z$58,$B266))</f>
        <v>   2.2.4) Infant mortality (deaths per 1,000 live births)</v>
      </c>
      <c r="D266" s="24">
        <f>INDEX(tblIndicators!$D$2:$D$58,$B266)</f>
        <v>3</v>
      </c>
    </row>
    <row r="267" spans="1:4">
      <c r="A267" s="207" t="s">
        <v>174</v>
      </c>
      <c r="B267" s="24">
        <f>MATCH(A267,tblIndicators!$B$2:$B$58,0)</f>
        <v>27</v>
      </c>
      <c r="C267" s="24" t="str">
        <f>CONCATENATE(REPT(" ",D267),INDEX(tblIndicators!$Z$2:$Z$58,$B267))</f>
        <v>   2.2.5) Cancer mortality rate ( Cancer deaths per 100,000)</v>
      </c>
      <c r="D267" s="24">
        <f>INDEX(tblIndicators!$D$2:$D$58,$B267)</f>
        <v>3</v>
      </c>
    </row>
    <row r="268" spans="1:4">
      <c r="A268" s="209" t="s">
        <v>179</v>
      </c>
      <c r="B268" s="24">
        <f>MATCH(A268,tblIndicators!$B$2:$B$58,0)</f>
        <v>28</v>
      </c>
      <c r="C268" s="24" t="str">
        <f>CONCATENATE(REPT(" ",D268),INDEX(tblIndicators!$Z$2:$Z$58,$B268))</f>
        <v> 3) INFRASTRUCTURE SAFETY</v>
      </c>
      <c r="D268" s="24">
        <f>INDEX(tblIndicators!$D$2:$D$58,$B268)</f>
        <v>1</v>
      </c>
    </row>
    <row r="269" spans="1:4">
      <c r="A269" s="205" t="s">
        <v>182</v>
      </c>
      <c r="B269" s="24">
        <f>MATCH(A269,tblIndicators!$B$2:$B$58,0)</f>
        <v>29</v>
      </c>
      <c r="C269" s="24" t="str">
        <f>CONCATENATE(REPT(" ",D269),INDEX(tblIndicators!$Z$2:$Z$58,$B269))</f>
        <v>  3.1) Infrastructure Safety (Inputs)</v>
      </c>
      <c r="D269" s="24">
        <f>INDEX(tblIndicators!$D$2:$D$58,$B269)</f>
        <v>2</v>
      </c>
    </row>
    <row r="270" spans="1:4">
      <c r="A270" s="207" t="s">
        <v>186</v>
      </c>
      <c r="B270" s="24">
        <f>MATCH(A270,tblIndicators!$B$2:$B$58,0)</f>
        <v>30</v>
      </c>
      <c r="C270" s="24" t="str">
        <f>CONCATENATE(REPT(" ",D270),INDEX(tblIndicators!$Z$2:$Z$58,$B270))</f>
        <v>   3.1.1) Enforcement of transport safety</v>
      </c>
      <c r="D270" s="24">
        <f>INDEX(tblIndicators!$D$2:$D$58,$B270)</f>
        <v>3</v>
      </c>
    </row>
    <row r="271" spans="1:4">
      <c r="A271" s="207" t="s">
        <v>190</v>
      </c>
      <c r="B271" s="24">
        <f>MATCH(A271,tblIndicators!$B$2:$B$58,0)</f>
        <v>31</v>
      </c>
      <c r="C271" s="24" t="str">
        <f>CONCATENATE(REPT(" ",D271),INDEX(tblIndicators!$Z$2:$Z$58,$B271))</f>
        <v>   3.1.2) Pedestrian friendliness</v>
      </c>
      <c r="D271" s="24">
        <f>INDEX(tblIndicators!$D$2:$D$58,$B271)</f>
        <v>3</v>
      </c>
    </row>
    <row r="272" spans="1:4">
      <c r="A272" s="207" t="s">
        <v>193</v>
      </c>
      <c r="B272" s="24">
        <f>MATCH(A272,tblIndicators!$B$2:$B$58,0)</f>
        <v>32</v>
      </c>
      <c r="C272" s="24" t="str">
        <f>CONCATENATE(REPT(" ",D272),INDEX(tblIndicators!$Z$2:$Z$58,$B272))</f>
        <v>   3.1.3) Quality of road infrastructure</v>
      </c>
      <c r="D272" s="24">
        <f>INDEX(tblIndicators!$D$2:$D$58,$B272)</f>
        <v>3</v>
      </c>
    </row>
    <row r="273" spans="1:4">
      <c r="A273" s="207" t="s">
        <v>196</v>
      </c>
      <c r="B273" s="24">
        <f>MATCH(A273,tblIndicators!$B$2:$B$58,0)</f>
        <v>33</v>
      </c>
      <c r="C273" s="24" t="str">
        <f>CONCATENATE(REPT(" ",D273),INDEX(tblIndicators!$Z$2:$Z$58,$B273))</f>
        <v>   3.1.4) Quality of electricity infrastructure</v>
      </c>
      <c r="D273" s="24">
        <f>INDEX(tblIndicators!$D$2:$D$58,$B273)</f>
        <v>3</v>
      </c>
    </row>
    <row r="274" spans="1:4">
      <c r="A274" s="207" t="s">
        <v>199</v>
      </c>
      <c r="B274" s="24">
        <f>MATCH(A274,tblIndicators!$B$2:$B$58,0)</f>
        <v>34</v>
      </c>
      <c r="C274" s="24" t="str">
        <f>CONCATENATE(REPT(" ",D274),INDEX(tblIndicators!$Z$2:$Z$58,$B274))</f>
        <v>   3.1.5) Disaster Management/Business Continuity Plan</v>
      </c>
      <c r="D274" s="24">
        <f>INDEX(tblIndicators!$D$2:$D$58,$B274)</f>
        <v>3</v>
      </c>
    </row>
    <row r="275" spans="1:4">
      <c r="A275" s="205" t="s">
        <v>202</v>
      </c>
      <c r="B275" s="24">
        <f>MATCH(A275,tblIndicators!$B$2:$B$58,0)</f>
        <v>35</v>
      </c>
      <c r="C275" s="24" t="str">
        <f>CONCATENATE(REPT(" ",D275),INDEX(tblIndicators!$Z$2:$Z$58,$B275))</f>
        <v>  3.2) Infrastructure Safety (Outputs)</v>
      </c>
      <c r="D275" s="24">
        <f>INDEX(tblIndicators!$D$2:$D$58,$B275)</f>
        <v>2</v>
      </c>
    </row>
    <row r="276" spans="1:4">
      <c r="A276" s="207" t="s">
        <v>206</v>
      </c>
      <c r="B276" s="24">
        <f>MATCH(A276,tblIndicators!$B$2:$B$58,0)</f>
        <v>36</v>
      </c>
      <c r="C276" s="24" t="str">
        <f>CONCATENATE(REPT(" ",D276),INDEX(tblIndicators!$Z$2:$Z$58,$B276))</f>
        <v>   3.2.1) Death from natural disasters</v>
      </c>
      <c r="D276" s="24">
        <f>INDEX(tblIndicators!$D$2:$D$58,$B276)</f>
        <v>3</v>
      </c>
    </row>
    <row r="277" spans="1:4">
      <c r="A277" s="207" t="s">
        <v>211</v>
      </c>
      <c r="B277" s="24">
        <f>MATCH(A277,tblIndicators!$B$2:$B$58,0)</f>
        <v>37</v>
      </c>
      <c r="C277" s="24" t="str">
        <f>CONCATENATE(REPT(" ",D277),INDEX(tblIndicators!$Z$2:$Z$58,$B277))</f>
        <v>   3.2.2) Frequency of vehicular accidents</v>
      </c>
      <c r="D277" s="24">
        <f>INDEX(tblIndicators!$D$2:$D$58,$B277)</f>
        <v>3</v>
      </c>
    </row>
    <row r="278" spans="1:4">
      <c r="A278" s="207" t="s">
        <v>215</v>
      </c>
      <c r="B278" s="24">
        <f>MATCH(A278,tblIndicators!$B$2:$B$58,0)</f>
        <v>38</v>
      </c>
      <c r="C278" s="24" t="str">
        <f>CONCATENATE(REPT(" ",D278),INDEX(tblIndicators!$Z$2:$Z$58,$B278))</f>
        <v>   3.2.3) Frequency of pedestrian deaths</v>
      </c>
      <c r="D278" s="24">
        <f>INDEX(tblIndicators!$D$2:$D$58,$B278)</f>
        <v>3</v>
      </c>
    </row>
    <row r="279" spans="1:4">
      <c r="A279" s="207" t="s">
        <v>218</v>
      </c>
      <c r="B279" s="24">
        <f>MATCH(A279,tblIndicators!$B$2:$B$58,0)</f>
        <v>39</v>
      </c>
      <c r="C279" s="24" t="str">
        <f>CONCATENATE(REPT(" ",D279),INDEX(tblIndicators!$Z$2:$Z$58,$B279))</f>
        <v>   3.2.4) Percent living in urban slums</v>
      </c>
      <c r="D279" s="24">
        <f>INDEX(tblIndicators!$D$2:$D$58,$B279)</f>
        <v>3</v>
      </c>
    </row>
    <row r="280" spans="1:4">
      <c r="A280" s="209" t="s">
        <v>221</v>
      </c>
      <c r="B280" s="24">
        <f>MATCH(A280,tblIndicators!$B$2:$B$58,0)</f>
        <v>40</v>
      </c>
      <c r="C280" s="24" t="str">
        <f>CONCATENATE(REPT(" ",D280),INDEX(tblIndicators!$Z$2:$Z$58,$B280))</f>
        <v> 4) PERSONAL SAFETY</v>
      </c>
      <c r="D280" s="24">
        <f>INDEX(tblIndicators!$D$2:$D$58,$B280)</f>
        <v>1</v>
      </c>
    </row>
    <row r="281" spans="1:4">
      <c r="A281" s="205" t="s">
        <v>224</v>
      </c>
      <c r="B281" s="24">
        <f>MATCH(A281,tblIndicators!$B$2:$B$58,0)</f>
        <v>41</v>
      </c>
      <c r="C281" s="24" t="str">
        <f>CONCATENATE(REPT(" ",D281),INDEX(tblIndicators!$Z$2:$Z$58,$B281))</f>
        <v>  4.1) Personal Safety (Inputs)</v>
      </c>
      <c r="D281" s="24">
        <f>INDEX(tblIndicators!$D$2:$D$58,$B281)</f>
        <v>2</v>
      </c>
    </row>
    <row r="282" spans="1:4">
      <c r="A282" s="207" t="s">
        <v>228</v>
      </c>
      <c r="B282" s="24">
        <f>MATCH(A282,tblIndicators!$B$2:$B$58,0)</f>
        <v>42</v>
      </c>
      <c r="C282" s="24" t="str">
        <f>CONCATENATE(REPT(" ",D282),INDEX(tblIndicators!$Z$2:$Z$58,$B282))</f>
        <v>   4.1.1) Level of police engagement</v>
      </c>
      <c r="D282" s="24">
        <f>INDEX(tblIndicators!$D$2:$D$58,$B282)</f>
        <v>3</v>
      </c>
    </row>
    <row r="283" spans="1:4">
      <c r="A283" s="207" t="s">
        <v>233</v>
      </c>
      <c r="B283" s="24">
        <f>MATCH(A283,tblIndicators!$B$2:$B$58,0)</f>
        <v>43</v>
      </c>
      <c r="C283" s="24" t="str">
        <f>CONCATENATE(REPT(" ",D283),INDEX(tblIndicators!$Z$2:$Z$58,$B283))</f>
        <v>   4.1.2) Community-based patrolling</v>
      </c>
      <c r="D283" s="24">
        <f>INDEX(tblIndicators!$D$2:$D$58,$B283)</f>
        <v>3</v>
      </c>
    </row>
    <row r="284" spans="1:4">
      <c r="A284" s="207" t="s">
        <v>238</v>
      </c>
      <c r="B284" s="24">
        <f>MATCH(A284,tblIndicators!$B$2:$B$58,0)</f>
        <v>44</v>
      </c>
      <c r="C284" s="24" t="str">
        <f>CONCATENATE(REPT(" ",D284),INDEX(tblIndicators!$Z$2:$Z$58,$B284))</f>
        <v>   4.1.3) Availability of street-level crime data</v>
      </c>
      <c r="D284" s="24">
        <f>INDEX(tblIndicators!$D$2:$D$58,$B284)</f>
        <v>3</v>
      </c>
    </row>
    <row r="285" spans="1:4">
      <c r="A285" s="207" t="s">
        <v>241</v>
      </c>
      <c r="B285" s="24">
        <f>MATCH(A285,tblIndicators!$B$2:$B$58,0)</f>
        <v>45</v>
      </c>
      <c r="C285" s="24" t="str">
        <f>CONCATENATE(REPT(" ",D285),INDEX(tblIndicators!$Z$2:$Z$58,$B285))</f>
        <v>   4.1.4) Use of data-driven techniques for crime</v>
      </c>
      <c r="D285" s="24">
        <f>INDEX(tblIndicators!$D$2:$D$58,$B285)</f>
        <v>3</v>
      </c>
    </row>
    <row r="286" spans="1:4">
      <c r="A286" s="207" t="s">
        <v>244</v>
      </c>
      <c r="B286" s="24">
        <f>MATCH(A286,tblIndicators!$B$2:$B$58,0)</f>
        <v>46</v>
      </c>
      <c r="C286" s="24" t="str">
        <f>CONCATENATE(REPT(" ",D286),INDEX(tblIndicators!$Z$2:$Z$58,$B286))</f>
        <v>   4.1.5) Private security measures</v>
      </c>
      <c r="D286" s="24">
        <f>INDEX(tblIndicators!$D$2:$D$58,$B286)</f>
        <v>3</v>
      </c>
    </row>
    <row r="287" spans="1:4">
      <c r="A287" s="207" t="s">
        <v>247</v>
      </c>
      <c r="B287" s="24">
        <f>MATCH(A287,tblIndicators!$B$2:$B$58,0)</f>
        <v>47</v>
      </c>
      <c r="C287" s="24" t="str">
        <f>CONCATENATE(REPT(" ",D287),INDEX(tblIndicators!$Z$2:$Z$58,$B287))</f>
        <v>   4.1.6) Gun regulation and enforcement</v>
      </c>
      <c r="D287" s="24">
        <f>INDEX(tblIndicators!$D$2:$D$58,$B287)</f>
        <v>3</v>
      </c>
    </row>
    <row r="288" spans="1:4">
      <c r="A288" s="207" t="s">
        <v>251</v>
      </c>
      <c r="B288" s="24">
        <f>MATCH(A288,tblIndicators!$B$2:$B$58,0)</f>
        <v>48</v>
      </c>
      <c r="C288" s="24" t="str">
        <f>CONCATENATE(REPT(" ",D288),INDEX(tblIndicators!$Z$2:$Z$58,$B288))</f>
        <v>   4.1.7) Political Stability Risk</v>
      </c>
      <c r="D288" s="24">
        <f>INDEX(tblIndicators!$D$2:$D$58,$B288)</f>
        <v>3</v>
      </c>
    </row>
    <row r="289" spans="1:4">
      <c r="A289" s="205" t="s">
        <v>255</v>
      </c>
      <c r="B289" s="24">
        <f>MATCH(A289,tblIndicators!$B$2:$B$58,0)</f>
        <v>49</v>
      </c>
      <c r="C289" s="24" t="str">
        <f>CONCATENATE(REPT(" ",D289),INDEX(tblIndicators!$Z$2:$Z$58,$B289))</f>
        <v>  4.2) Personal Safety (Outputs)</v>
      </c>
      <c r="D289" s="24">
        <f>INDEX(tblIndicators!$D$2:$D$58,$B289)</f>
        <v>2</v>
      </c>
    </row>
    <row r="290" spans="1:4">
      <c r="A290" s="207" t="s">
        <v>259</v>
      </c>
      <c r="B290" s="24">
        <f>MATCH(A290,tblIndicators!$B$2:$B$58,0)</f>
        <v>50</v>
      </c>
      <c r="C290" s="24" t="str">
        <f>CONCATENATE(REPT(" ",D290),INDEX(tblIndicators!$Z$2:$Z$58,$B290))</f>
        <v>   4.2.1) Prevalence of petty crime</v>
      </c>
      <c r="D290" s="24">
        <f>INDEX(tblIndicators!$D$2:$D$58,$B290)</f>
        <v>3</v>
      </c>
    </row>
    <row r="291" spans="1:4">
      <c r="A291" s="207" t="s">
        <v>263</v>
      </c>
      <c r="B291" s="24">
        <f>MATCH(A291,tblIndicators!$B$2:$B$58,0)</f>
        <v>51</v>
      </c>
      <c r="C291" s="24" t="str">
        <f>CONCATENATE(REPT(" ",D291),INDEX(tblIndicators!$Z$2:$Z$58,$B291))</f>
        <v>   4.2.2) Prevalence of violence crime</v>
      </c>
      <c r="D291" s="24">
        <f>INDEX(tblIndicators!$D$2:$D$58,$B291)</f>
        <v>3</v>
      </c>
    </row>
    <row r="292" spans="1:4">
      <c r="A292" s="207" t="s">
        <v>266</v>
      </c>
      <c r="B292" s="24">
        <f>MATCH(A292,tblIndicators!$B$2:$B$58,0)</f>
        <v>52</v>
      </c>
      <c r="C292" s="24" t="str">
        <f>CONCATENATE(REPT(" ",D292),INDEX(tblIndicators!$Z$2:$Z$58,$B292))</f>
        <v>   4.2.3) Criminal gang activity</v>
      </c>
      <c r="D292" s="24">
        <f>INDEX(tblIndicators!$D$2:$D$58,$B292)</f>
        <v>3</v>
      </c>
    </row>
    <row r="293" spans="1:4">
      <c r="A293" s="207" t="s">
        <v>271</v>
      </c>
      <c r="B293" s="24">
        <f>MATCH(A293,tblIndicators!$B$2:$B$58,0)</f>
        <v>53</v>
      </c>
      <c r="C293" s="24" t="str">
        <f>CONCATENATE(REPT(" ",D293),INDEX(tblIndicators!$Z$2:$Z$58,$B293))</f>
        <v>   4.2.4) Level of corruption in police force</v>
      </c>
      <c r="D293" s="24">
        <f>INDEX(tblIndicators!$D$2:$D$58,$B293)</f>
        <v>3</v>
      </c>
    </row>
    <row r="294" spans="1:4">
      <c r="A294" s="207" t="s">
        <v>274</v>
      </c>
      <c r="B294" s="24">
        <f>MATCH(A294,tblIndicators!$B$2:$B$58,0)</f>
        <v>54</v>
      </c>
      <c r="C294" s="24" t="str">
        <f>CONCATENATE(REPT(" ",D294),INDEX(tblIndicators!$Z$2:$Z$58,$B294))</f>
        <v>   4.2.5) Rate of drug use</v>
      </c>
      <c r="D294" s="24">
        <f>INDEX(tblIndicators!$D$2:$D$58,$B294)</f>
        <v>3</v>
      </c>
    </row>
    <row r="295" spans="1:4">
      <c r="A295" s="207" t="s">
        <v>277</v>
      </c>
      <c r="B295" s="24">
        <f>MATCH(A295,tblIndicators!$B$2:$B$58,0)</f>
        <v>55</v>
      </c>
      <c r="C295" s="24" t="str">
        <f>CONCATENATE(REPT(" ",D295),INDEX(tblIndicators!$Z$2:$Z$58,$B295))</f>
        <v>   4.2.6) Frequency of terrorist attacks</v>
      </c>
      <c r="D295" s="24">
        <f>INDEX(tblIndicators!$D$2:$D$58,$B295)</f>
        <v>3</v>
      </c>
    </row>
    <row r="296" spans="1:4">
      <c r="A296" s="207" t="s">
        <v>282</v>
      </c>
      <c r="B296" s="24">
        <f>MATCH(A296,tblIndicators!$B$2:$B$58,0)</f>
        <v>56</v>
      </c>
      <c r="C296" s="24" t="str">
        <f>CONCATENATE(REPT(" ",D296),INDEX(tblIndicators!$Z$2:$Z$58,$B296))</f>
        <v>   4.2.7) Gender safety</v>
      </c>
      <c r="D296" s="24">
        <f>INDEX(tblIndicators!$D$2:$D$58,$B296)</f>
        <v>3</v>
      </c>
    </row>
    <row r="297" spans="1:4">
      <c r="A297" s="207" t="s">
        <v>287</v>
      </c>
      <c r="B297" s="24">
        <f>MATCH(A297,tblIndicators!$B$2:$B$58,0)</f>
        <v>57</v>
      </c>
      <c r="C297" s="24" t="str">
        <f>CONCATENATE(REPT(" ",D297),INDEX(tblIndicators!$Z$2:$Z$58,$B297))</f>
        <v>   4.2.8) Perceptions of safety</v>
      </c>
      <c r="D297" s="24">
        <f>INDEX(tblIndicators!$D$2:$D$58,$B297)</f>
        <v>3</v>
      </c>
    </row>
  </sheetData>
  <sheetProtection selectLockedCells="1" selectUnlockedCells="1"/>
  <pageMargins left="0.7" right="0.7" top="0.75" bottom="0.75" header="0.3" footer="0.3"/>
  <pageSetup paperSize="1"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C000"/>
  </sheetPr>
  <dimension ref="A2:Q74"/>
  <sheetViews>
    <sheetView topLeftCell="B45" workbookViewId="0">
      <selection activeCell="E82" sqref="E82"/>
    </sheetView>
  </sheetViews>
  <sheetFormatPr defaultColWidth="9" defaultRowHeight="11.25"/>
  <cols>
    <col min="1" max="2" width="9.14285714285714" style="85"/>
    <col min="3" max="3" width="28.4285714285714" style="85" customWidth="1"/>
    <col min="4" max="4" width="3.85714285714286" style="85" customWidth="1"/>
    <col min="5" max="5" width="4.42857142857143" style="85" customWidth="1"/>
    <col min="6" max="6" width="24" style="85" customWidth="1"/>
    <col min="7" max="7" width="39" style="85" customWidth="1"/>
    <col min="8" max="258" width="9.14285714285714" style="85"/>
    <col min="259" max="259" width="28.4285714285714" style="85" customWidth="1"/>
    <col min="260" max="260" width="3.85714285714286" style="85" customWidth="1"/>
    <col min="261" max="261" width="4.42857142857143" style="85" customWidth="1"/>
    <col min="262" max="262" width="24" style="85" customWidth="1"/>
    <col min="263" max="263" width="39" style="85" customWidth="1"/>
    <col min="264" max="514" width="9.14285714285714" style="85"/>
    <col min="515" max="515" width="28.4285714285714" style="85" customWidth="1"/>
    <col min="516" max="516" width="3.85714285714286" style="85" customWidth="1"/>
    <col min="517" max="517" width="4.42857142857143" style="85" customWidth="1"/>
    <col min="518" max="518" width="24" style="85" customWidth="1"/>
    <col min="519" max="519" width="39" style="85" customWidth="1"/>
    <col min="520" max="770" width="9.14285714285714" style="85"/>
    <col min="771" max="771" width="28.4285714285714" style="85" customWidth="1"/>
    <col min="772" max="772" width="3.85714285714286" style="85" customWidth="1"/>
    <col min="773" max="773" width="4.42857142857143" style="85" customWidth="1"/>
    <col min="774" max="774" width="24" style="85" customWidth="1"/>
    <col min="775" max="775" width="39" style="85" customWidth="1"/>
    <col min="776" max="1026" width="9.14285714285714" style="85"/>
    <col min="1027" max="1027" width="28.4285714285714" style="85" customWidth="1"/>
    <col min="1028" max="1028" width="3.85714285714286" style="85" customWidth="1"/>
    <col min="1029" max="1029" width="4.42857142857143" style="85" customWidth="1"/>
    <col min="1030" max="1030" width="24" style="85" customWidth="1"/>
    <col min="1031" max="1031" width="39" style="85" customWidth="1"/>
    <col min="1032" max="1282" width="9.14285714285714" style="85"/>
    <col min="1283" max="1283" width="28.4285714285714" style="85" customWidth="1"/>
    <col min="1284" max="1284" width="3.85714285714286" style="85" customWidth="1"/>
    <col min="1285" max="1285" width="4.42857142857143" style="85" customWidth="1"/>
    <col min="1286" max="1286" width="24" style="85" customWidth="1"/>
    <col min="1287" max="1287" width="39" style="85" customWidth="1"/>
    <col min="1288" max="1538" width="9.14285714285714" style="85"/>
    <col min="1539" max="1539" width="28.4285714285714" style="85" customWidth="1"/>
    <col min="1540" max="1540" width="3.85714285714286" style="85" customWidth="1"/>
    <col min="1541" max="1541" width="4.42857142857143" style="85" customWidth="1"/>
    <col min="1542" max="1542" width="24" style="85" customWidth="1"/>
    <col min="1543" max="1543" width="39" style="85" customWidth="1"/>
    <col min="1544" max="1794" width="9.14285714285714" style="85"/>
    <col min="1795" max="1795" width="28.4285714285714" style="85" customWidth="1"/>
    <col min="1796" max="1796" width="3.85714285714286" style="85" customWidth="1"/>
    <col min="1797" max="1797" width="4.42857142857143" style="85" customWidth="1"/>
    <col min="1798" max="1798" width="24" style="85" customWidth="1"/>
    <col min="1799" max="1799" width="39" style="85" customWidth="1"/>
    <col min="1800" max="2050" width="9.14285714285714" style="85"/>
    <col min="2051" max="2051" width="28.4285714285714" style="85" customWidth="1"/>
    <col min="2052" max="2052" width="3.85714285714286" style="85" customWidth="1"/>
    <col min="2053" max="2053" width="4.42857142857143" style="85" customWidth="1"/>
    <col min="2054" max="2054" width="24" style="85" customWidth="1"/>
    <col min="2055" max="2055" width="39" style="85" customWidth="1"/>
    <col min="2056" max="2306" width="9.14285714285714" style="85"/>
    <col min="2307" max="2307" width="28.4285714285714" style="85" customWidth="1"/>
    <col min="2308" max="2308" width="3.85714285714286" style="85" customWidth="1"/>
    <col min="2309" max="2309" width="4.42857142857143" style="85" customWidth="1"/>
    <col min="2310" max="2310" width="24" style="85" customWidth="1"/>
    <col min="2311" max="2311" width="39" style="85" customWidth="1"/>
    <col min="2312" max="2562" width="9.14285714285714" style="85"/>
    <col min="2563" max="2563" width="28.4285714285714" style="85" customWidth="1"/>
    <col min="2564" max="2564" width="3.85714285714286" style="85" customWidth="1"/>
    <col min="2565" max="2565" width="4.42857142857143" style="85" customWidth="1"/>
    <col min="2566" max="2566" width="24" style="85" customWidth="1"/>
    <col min="2567" max="2567" width="39" style="85" customWidth="1"/>
    <col min="2568" max="2818" width="9.14285714285714" style="85"/>
    <col min="2819" max="2819" width="28.4285714285714" style="85" customWidth="1"/>
    <col min="2820" max="2820" width="3.85714285714286" style="85" customWidth="1"/>
    <col min="2821" max="2821" width="4.42857142857143" style="85" customWidth="1"/>
    <col min="2822" max="2822" width="24" style="85" customWidth="1"/>
    <col min="2823" max="2823" width="39" style="85" customWidth="1"/>
    <col min="2824" max="3074" width="9.14285714285714" style="85"/>
    <col min="3075" max="3075" width="28.4285714285714" style="85" customWidth="1"/>
    <col min="3076" max="3076" width="3.85714285714286" style="85" customWidth="1"/>
    <col min="3077" max="3077" width="4.42857142857143" style="85" customWidth="1"/>
    <col min="3078" max="3078" width="24" style="85" customWidth="1"/>
    <col min="3079" max="3079" width="39" style="85" customWidth="1"/>
    <col min="3080" max="3330" width="9.14285714285714" style="85"/>
    <col min="3331" max="3331" width="28.4285714285714" style="85" customWidth="1"/>
    <col min="3332" max="3332" width="3.85714285714286" style="85" customWidth="1"/>
    <col min="3333" max="3333" width="4.42857142857143" style="85" customWidth="1"/>
    <col min="3334" max="3334" width="24" style="85" customWidth="1"/>
    <col min="3335" max="3335" width="39" style="85" customWidth="1"/>
    <col min="3336" max="3586" width="9.14285714285714" style="85"/>
    <col min="3587" max="3587" width="28.4285714285714" style="85" customWidth="1"/>
    <col min="3588" max="3588" width="3.85714285714286" style="85" customWidth="1"/>
    <col min="3589" max="3589" width="4.42857142857143" style="85" customWidth="1"/>
    <col min="3590" max="3590" width="24" style="85" customWidth="1"/>
    <col min="3591" max="3591" width="39" style="85" customWidth="1"/>
    <col min="3592" max="3842" width="9.14285714285714" style="85"/>
    <col min="3843" max="3843" width="28.4285714285714" style="85" customWidth="1"/>
    <col min="3844" max="3844" width="3.85714285714286" style="85" customWidth="1"/>
    <col min="3845" max="3845" width="4.42857142857143" style="85" customWidth="1"/>
    <col min="3846" max="3846" width="24" style="85" customWidth="1"/>
    <col min="3847" max="3847" width="39" style="85" customWidth="1"/>
    <col min="3848" max="4098" width="9.14285714285714" style="85"/>
    <col min="4099" max="4099" width="28.4285714285714" style="85" customWidth="1"/>
    <col min="4100" max="4100" width="3.85714285714286" style="85" customWidth="1"/>
    <col min="4101" max="4101" width="4.42857142857143" style="85" customWidth="1"/>
    <col min="4102" max="4102" width="24" style="85" customWidth="1"/>
    <col min="4103" max="4103" width="39" style="85" customWidth="1"/>
    <col min="4104" max="4354" width="9.14285714285714" style="85"/>
    <col min="4355" max="4355" width="28.4285714285714" style="85" customWidth="1"/>
    <col min="4356" max="4356" width="3.85714285714286" style="85" customWidth="1"/>
    <col min="4357" max="4357" width="4.42857142857143" style="85" customWidth="1"/>
    <col min="4358" max="4358" width="24" style="85" customWidth="1"/>
    <col min="4359" max="4359" width="39" style="85" customWidth="1"/>
    <col min="4360" max="4610" width="9.14285714285714" style="85"/>
    <col min="4611" max="4611" width="28.4285714285714" style="85" customWidth="1"/>
    <col min="4612" max="4612" width="3.85714285714286" style="85" customWidth="1"/>
    <col min="4613" max="4613" width="4.42857142857143" style="85" customWidth="1"/>
    <col min="4614" max="4614" width="24" style="85" customWidth="1"/>
    <col min="4615" max="4615" width="39" style="85" customWidth="1"/>
    <col min="4616" max="4866" width="9.14285714285714" style="85"/>
    <col min="4867" max="4867" width="28.4285714285714" style="85" customWidth="1"/>
    <col min="4868" max="4868" width="3.85714285714286" style="85" customWidth="1"/>
    <col min="4869" max="4869" width="4.42857142857143" style="85" customWidth="1"/>
    <col min="4870" max="4870" width="24" style="85" customWidth="1"/>
    <col min="4871" max="4871" width="39" style="85" customWidth="1"/>
    <col min="4872" max="5122" width="9.14285714285714" style="85"/>
    <col min="5123" max="5123" width="28.4285714285714" style="85" customWidth="1"/>
    <col min="5124" max="5124" width="3.85714285714286" style="85" customWidth="1"/>
    <col min="5125" max="5125" width="4.42857142857143" style="85" customWidth="1"/>
    <col min="5126" max="5126" width="24" style="85" customWidth="1"/>
    <col min="5127" max="5127" width="39" style="85" customWidth="1"/>
    <col min="5128" max="5378" width="9.14285714285714" style="85"/>
    <col min="5379" max="5379" width="28.4285714285714" style="85" customWidth="1"/>
    <col min="5380" max="5380" width="3.85714285714286" style="85" customWidth="1"/>
    <col min="5381" max="5381" width="4.42857142857143" style="85" customWidth="1"/>
    <col min="5382" max="5382" width="24" style="85" customWidth="1"/>
    <col min="5383" max="5383" width="39" style="85" customWidth="1"/>
    <col min="5384" max="5634" width="9.14285714285714" style="85"/>
    <col min="5635" max="5635" width="28.4285714285714" style="85" customWidth="1"/>
    <col min="5636" max="5636" width="3.85714285714286" style="85" customWidth="1"/>
    <col min="5637" max="5637" width="4.42857142857143" style="85" customWidth="1"/>
    <col min="5638" max="5638" width="24" style="85" customWidth="1"/>
    <col min="5639" max="5639" width="39" style="85" customWidth="1"/>
    <col min="5640" max="5890" width="9.14285714285714" style="85"/>
    <col min="5891" max="5891" width="28.4285714285714" style="85" customWidth="1"/>
    <col min="5892" max="5892" width="3.85714285714286" style="85" customWidth="1"/>
    <col min="5893" max="5893" width="4.42857142857143" style="85" customWidth="1"/>
    <col min="5894" max="5894" width="24" style="85" customWidth="1"/>
    <col min="5895" max="5895" width="39" style="85" customWidth="1"/>
    <col min="5896" max="6146" width="9.14285714285714" style="85"/>
    <col min="6147" max="6147" width="28.4285714285714" style="85" customWidth="1"/>
    <col min="6148" max="6148" width="3.85714285714286" style="85" customWidth="1"/>
    <col min="6149" max="6149" width="4.42857142857143" style="85" customWidth="1"/>
    <col min="6150" max="6150" width="24" style="85" customWidth="1"/>
    <col min="6151" max="6151" width="39" style="85" customWidth="1"/>
    <col min="6152" max="6402" width="9.14285714285714" style="85"/>
    <col min="6403" max="6403" width="28.4285714285714" style="85" customWidth="1"/>
    <col min="6404" max="6404" width="3.85714285714286" style="85" customWidth="1"/>
    <col min="6405" max="6405" width="4.42857142857143" style="85" customWidth="1"/>
    <col min="6406" max="6406" width="24" style="85" customWidth="1"/>
    <col min="6407" max="6407" width="39" style="85" customWidth="1"/>
    <col min="6408" max="6658" width="9.14285714285714" style="85"/>
    <col min="6659" max="6659" width="28.4285714285714" style="85" customWidth="1"/>
    <col min="6660" max="6660" width="3.85714285714286" style="85" customWidth="1"/>
    <col min="6661" max="6661" width="4.42857142857143" style="85" customWidth="1"/>
    <col min="6662" max="6662" width="24" style="85" customWidth="1"/>
    <col min="6663" max="6663" width="39" style="85" customWidth="1"/>
    <col min="6664" max="6914" width="9.14285714285714" style="85"/>
    <col min="6915" max="6915" width="28.4285714285714" style="85" customWidth="1"/>
    <col min="6916" max="6916" width="3.85714285714286" style="85" customWidth="1"/>
    <col min="6917" max="6917" width="4.42857142857143" style="85" customWidth="1"/>
    <col min="6918" max="6918" width="24" style="85" customWidth="1"/>
    <col min="6919" max="6919" width="39" style="85" customWidth="1"/>
    <col min="6920" max="7170" width="9.14285714285714" style="85"/>
    <col min="7171" max="7171" width="28.4285714285714" style="85" customWidth="1"/>
    <col min="7172" max="7172" width="3.85714285714286" style="85" customWidth="1"/>
    <col min="7173" max="7173" width="4.42857142857143" style="85" customWidth="1"/>
    <col min="7174" max="7174" width="24" style="85" customWidth="1"/>
    <col min="7175" max="7175" width="39" style="85" customWidth="1"/>
    <col min="7176" max="7426" width="9.14285714285714" style="85"/>
    <col min="7427" max="7427" width="28.4285714285714" style="85" customWidth="1"/>
    <col min="7428" max="7428" width="3.85714285714286" style="85" customWidth="1"/>
    <col min="7429" max="7429" width="4.42857142857143" style="85" customWidth="1"/>
    <col min="7430" max="7430" width="24" style="85" customWidth="1"/>
    <col min="7431" max="7431" width="39" style="85" customWidth="1"/>
    <col min="7432" max="7682" width="9.14285714285714" style="85"/>
    <col min="7683" max="7683" width="28.4285714285714" style="85" customWidth="1"/>
    <col min="7684" max="7684" width="3.85714285714286" style="85" customWidth="1"/>
    <col min="7685" max="7685" width="4.42857142857143" style="85" customWidth="1"/>
    <col min="7686" max="7686" width="24" style="85" customWidth="1"/>
    <col min="7687" max="7687" width="39" style="85" customWidth="1"/>
    <col min="7688" max="7938" width="9.14285714285714" style="85"/>
    <col min="7939" max="7939" width="28.4285714285714" style="85" customWidth="1"/>
    <col min="7940" max="7940" width="3.85714285714286" style="85" customWidth="1"/>
    <col min="7941" max="7941" width="4.42857142857143" style="85" customWidth="1"/>
    <col min="7942" max="7942" width="24" style="85" customWidth="1"/>
    <col min="7943" max="7943" width="39" style="85" customWidth="1"/>
    <col min="7944" max="8194" width="9.14285714285714" style="85"/>
    <col min="8195" max="8195" width="28.4285714285714" style="85" customWidth="1"/>
    <col min="8196" max="8196" width="3.85714285714286" style="85" customWidth="1"/>
    <col min="8197" max="8197" width="4.42857142857143" style="85" customWidth="1"/>
    <col min="8198" max="8198" width="24" style="85" customWidth="1"/>
    <col min="8199" max="8199" width="39" style="85" customWidth="1"/>
    <col min="8200" max="8450" width="9.14285714285714" style="85"/>
    <col min="8451" max="8451" width="28.4285714285714" style="85" customWidth="1"/>
    <col min="8452" max="8452" width="3.85714285714286" style="85" customWidth="1"/>
    <col min="8453" max="8453" width="4.42857142857143" style="85" customWidth="1"/>
    <col min="8454" max="8454" width="24" style="85" customWidth="1"/>
    <col min="8455" max="8455" width="39" style="85" customWidth="1"/>
    <col min="8456" max="8706" width="9.14285714285714" style="85"/>
    <col min="8707" max="8707" width="28.4285714285714" style="85" customWidth="1"/>
    <col min="8708" max="8708" width="3.85714285714286" style="85" customWidth="1"/>
    <col min="8709" max="8709" width="4.42857142857143" style="85" customWidth="1"/>
    <col min="8710" max="8710" width="24" style="85" customWidth="1"/>
    <col min="8711" max="8711" width="39" style="85" customWidth="1"/>
    <col min="8712" max="8962" width="9.14285714285714" style="85"/>
    <col min="8963" max="8963" width="28.4285714285714" style="85" customWidth="1"/>
    <col min="8964" max="8964" width="3.85714285714286" style="85" customWidth="1"/>
    <col min="8965" max="8965" width="4.42857142857143" style="85" customWidth="1"/>
    <col min="8966" max="8966" width="24" style="85" customWidth="1"/>
    <col min="8967" max="8967" width="39" style="85" customWidth="1"/>
    <col min="8968" max="9218" width="9.14285714285714" style="85"/>
    <col min="9219" max="9219" width="28.4285714285714" style="85" customWidth="1"/>
    <col min="9220" max="9220" width="3.85714285714286" style="85" customWidth="1"/>
    <col min="9221" max="9221" width="4.42857142857143" style="85" customWidth="1"/>
    <col min="9222" max="9222" width="24" style="85" customWidth="1"/>
    <col min="9223" max="9223" width="39" style="85" customWidth="1"/>
    <col min="9224" max="9474" width="9.14285714285714" style="85"/>
    <col min="9475" max="9475" width="28.4285714285714" style="85" customWidth="1"/>
    <col min="9476" max="9476" width="3.85714285714286" style="85" customWidth="1"/>
    <col min="9477" max="9477" width="4.42857142857143" style="85" customWidth="1"/>
    <col min="9478" max="9478" width="24" style="85" customWidth="1"/>
    <col min="9479" max="9479" width="39" style="85" customWidth="1"/>
    <col min="9480" max="9730" width="9.14285714285714" style="85"/>
    <col min="9731" max="9731" width="28.4285714285714" style="85" customWidth="1"/>
    <col min="9732" max="9732" width="3.85714285714286" style="85" customWidth="1"/>
    <col min="9733" max="9733" width="4.42857142857143" style="85" customWidth="1"/>
    <col min="9734" max="9734" width="24" style="85" customWidth="1"/>
    <col min="9735" max="9735" width="39" style="85" customWidth="1"/>
    <col min="9736" max="9986" width="9.14285714285714" style="85"/>
    <col min="9987" max="9987" width="28.4285714285714" style="85" customWidth="1"/>
    <col min="9988" max="9988" width="3.85714285714286" style="85" customWidth="1"/>
    <col min="9989" max="9989" width="4.42857142857143" style="85" customWidth="1"/>
    <col min="9990" max="9990" width="24" style="85" customWidth="1"/>
    <col min="9991" max="9991" width="39" style="85" customWidth="1"/>
    <col min="9992" max="10242" width="9.14285714285714" style="85"/>
    <col min="10243" max="10243" width="28.4285714285714" style="85" customWidth="1"/>
    <col min="10244" max="10244" width="3.85714285714286" style="85" customWidth="1"/>
    <col min="10245" max="10245" width="4.42857142857143" style="85" customWidth="1"/>
    <col min="10246" max="10246" width="24" style="85" customWidth="1"/>
    <col min="10247" max="10247" width="39" style="85" customWidth="1"/>
    <col min="10248" max="10498" width="9.14285714285714" style="85"/>
    <col min="10499" max="10499" width="28.4285714285714" style="85" customWidth="1"/>
    <col min="10500" max="10500" width="3.85714285714286" style="85" customWidth="1"/>
    <col min="10501" max="10501" width="4.42857142857143" style="85" customWidth="1"/>
    <col min="10502" max="10502" width="24" style="85" customWidth="1"/>
    <col min="10503" max="10503" width="39" style="85" customWidth="1"/>
    <col min="10504" max="10754" width="9.14285714285714" style="85"/>
    <col min="10755" max="10755" width="28.4285714285714" style="85" customWidth="1"/>
    <col min="10756" max="10756" width="3.85714285714286" style="85" customWidth="1"/>
    <col min="10757" max="10757" width="4.42857142857143" style="85" customWidth="1"/>
    <col min="10758" max="10758" width="24" style="85" customWidth="1"/>
    <col min="10759" max="10759" width="39" style="85" customWidth="1"/>
    <col min="10760" max="11010" width="9.14285714285714" style="85"/>
    <col min="11011" max="11011" width="28.4285714285714" style="85" customWidth="1"/>
    <col min="11012" max="11012" width="3.85714285714286" style="85" customWidth="1"/>
    <col min="11013" max="11013" width="4.42857142857143" style="85" customWidth="1"/>
    <col min="11014" max="11014" width="24" style="85" customWidth="1"/>
    <col min="11015" max="11015" width="39" style="85" customWidth="1"/>
    <col min="11016" max="11266" width="9.14285714285714" style="85"/>
    <col min="11267" max="11267" width="28.4285714285714" style="85" customWidth="1"/>
    <col min="11268" max="11268" width="3.85714285714286" style="85" customWidth="1"/>
    <col min="11269" max="11269" width="4.42857142857143" style="85" customWidth="1"/>
    <col min="11270" max="11270" width="24" style="85" customWidth="1"/>
    <col min="11271" max="11271" width="39" style="85" customWidth="1"/>
    <col min="11272" max="11522" width="9.14285714285714" style="85"/>
    <col min="11523" max="11523" width="28.4285714285714" style="85" customWidth="1"/>
    <col min="11524" max="11524" width="3.85714285714286" style="85" customWidth="1"/>
    <col min="11525" max="11525" width="4.42857142857143" style="85" customWidth="1"/>
    <col min="11526" max="11526" width="24" style="85" customWidth="1"/>
    <col min="11527" max="11527" width="39" style="85" customWidth="1"/>
    <col min="11528" max="11778" width="9.14285714285714" style="85"/>
    <col min="11779" max="11779" width="28.4285714285714" style="85" customWidth="1"/>
    <col min="11780" max="11780" width="3.85714285714286" style="85" customWidth="1"/>
    <col min="11781" max="11781" width="4.42857142857143" style="85" customWidth="1"/>
    <col min="11782" max="11782" width="24" style="85" customWidth="1"/>
    <col min="11783" max="11783" width="39" style="85" customWidth="1"/>
    <col min="11784" max="12034" width="9.14285714285714" style="85"/>
    <col min="12035" max="12035" width="28.4285714285714" style="85" customWidth="1"/>
    <col min="12036" max="12036" width="3.85714285714286" style="85" customWidth="1"/>
    <col min="12037" max="12037" width="4.42857142857143" style="85" customWidth="1"/>
    <col min="12038" max="12038" width="24" style="85" customWidth="1"/>
    <col min="12039" max="12039" width="39" style="85" customWidth="1"/>
    <col min="12040" max="12290" width="9.14285714285714" style="85"/>
    <col min="12291" max="12291" width="28.4285714285714" style="85" customWidth="1"/>
    <col min="12292" max="12292" width="3.85714285714286" style="85" customWidth="1"/>
    <col min="12293" max="12293" width="4.42857142857143" style="85" customWidth="1"/>
    <col min="12294" max="12294" width="24" style="85" customWidth="1"/>
    <col min="12295" max="12295" width="39" style="85" customWidth="1"/>
    <col min="12296" max="12546" width="9.14285714285714" style="85"/>
    <col min="12547" max="12547" width="28.4285714285714" style="85" customWidth="1"/>
    <col min="12548" max="12548" width="3.85714285714286" style="85" customWidth="1"/>
    <col min="12549" max="12549" width="4.42857142857143" style="85" customWidth="1"/>
    <col min="12550" max="12550" width="24" style="85" customWidth="1"/>
    <col min="12551" max="12551" width="39" style="85" customWidth="1"/>
    <col min="12552" max="12802" width="9.14285714285714" style="85"/>
    <col min="12803" max="12803" width="28.4285714285714" style="85" customWidth="1"/>
    <col min="12804" max="12804" width="3.85714285714286" style="85" customWidth="1"/>
    <col min="12805" max="12805" width="4.42857142857143" style="85" customWidth="1"/>
    <col min="12806" max="12806" width="24" style="85" customWidth="1"/>
    <col min="12807" max="12807" width="39" style="85" customWidth="1"/>
    <col min="12808" max="13058" width="9.14285714285714" style="85"/>
    <col min="13059" max="13059" width="28.4285714285714" style="85" customWidth="1"/>
    <col min="13060" max="13060" width="3.85714285714286" style="85" customWidth="1"/>
    <col min="13061" max="13061" width="4.42857142857143" style="85" customWidth="1"/>
    <col min="13062" max="13062" width="24" style="85" customWidth="1"/>
    <col min="13063" max="13063" width="39" style="85" customWidth="1"/>
    <col min="13064" max="13314" width="9.14285714285714" style="85"/>
    <col min="13315" max="13315" width="28.4285714285714" style="85" customWidth="1"/>
    <col min="13316" max="13316" width="3.85714285714286" style="85" customWidth="1"/>
    <col min="13317" max="13317" width="4.42857142857143" style="85" customWidth="1"/>
    <col min="13318" max="13318" width="24" style="85" customWidth="1"/>
    <col min="13319" max="13319" width="39" style="85" customWidth="1"/>
    <col min="13320" max="13570" width="9.14285714285714" style="85"/>
    <col min="13571" max="13571" width="28.4285714285714" style="85" customWidth="1"/>
    <col min="13572" max="13572" width="3.85714285714286" style="85" customWidth="1"/>
    <col min="13573" max="13573" width="4.42857142857143" style="85" customWidth="1"/>
    <col min="13574" max="13574" width="24" style="85" customWidth="1"/>
    <col min="13575" max="13575" width="39" style="85" customWidth="1"/>
    <col min="13576" max="13826" width="9.14285714285714" style="85"/>
    <col min="13827" max="13827" width="28.4285714285714" style="85" customWidth="1"/>
    <col min="13828" max="13828" width="3.85714285714286" style="85" customWidth="1"/>
    <col min="13829" max="13829" width="4.42857142857143" style="85" customWidth="1"/>
    <col min="13830" max="13830" width="24" style="85" customWidth="1"/>
    <col min="13831" max="13831" width="39" style="85" customWidth="1"/>
    <col min="13832" max="14082" width="9.14285714285714" style="85"/>
    <col min="14083" max="14083" width="28.4285714285714" style="85" customWidth="1"/>
    <col min="14084" max="14084" width="3.85714285714286" style="85" customWidth="1"/>
    <col min="14085" max="14085" width="4.42857142857143" style="85" customWidth="1"/>
    <col min="14086" max="14086" width="24" style="85" customWidth="1"/>
    <col min="14087" max="14087" width="39" style="85" customWidth="1"/>
    <col min="14088" max="14338" width="9.14285714285714" style="85"/>
    <col min="14339" max="14339" width="28.4285714285714" style="85" customWidth="1"/>
    <col min="14340" max="14340" width="3.85714285714286" style="85" customWidth="1"/>
    <col min="14341" max="14341" width="4.42857142857143" style="85" customWidth="1"/>
    <col min="14342" max="14342" width="24" style="85" customWidth="1"/>
    <col min="14343" max="14343" width="39" style="85" customWidth="1"/>
    <col min="14344" max="14594" width="9.14285714285714" style="85"/>
    <col min="14595" max="14595" width="28.4285714285714" style="85" customWidth="1"/>
    <col min="14596" max="14596" width="3.85714285714286" style="85" customWidth="1"/>
    <col min="14597" max="14597" width="4.42857142857143" style="85" customWidth="1"/>
    <col min="14598" max="14598" width="24" style="85" customWidth="1"/>
    <col min="14599" max="14599" width="39" style="85" customWidth="1"/>
    <col min="14600" max="14850" width="9.14285714285714" style="85"/>
    <col min="14851" max="14851" width="28.4285714285714" style="85" customWidth="1"/>
    <col min="14852" max="14852" width="3.85714285714286" style="85" customWidth="1"/>
    <col min="14853" max="14853" width="4.42857142857143" style="85" customWidth="1"/>
    <col min="14854" max="14854" width="24" style="85" customWidth="1"/>
    <col min="14855" max="14855" width="39" style="85" customWidth="1"/>
    <col min="14856" max="15106" width="9.14285714285714" style="85"/>
    <col min="15107" max="15107" width="28.4285714285714" style="85" customWidth="1"/>
    <col min="15108" max="15108" width="3.85714285714286" style="85" customWidth="1"/>
    <col min="15109" max="15109" width="4.42857142857143" style="85" customWidth="1"/>
    <col min="15110" max="15110" width="24" style="85" customWidth="1"/>
    <col min="15111" max="15111" width="39" style="85" customWidth="1"/>
    <col min="15112" max="15362" width="9.14285714285714" style="85"/>
    <col min="15363" max="15363" width="28.4285714285714" style="85" customWidth="1"/>
    <col min="15364" max="15364" width="3.85714285714286" style="85" customWidth="1"/>
    <col min="15365" max="15365" width="4.42857142857143" style="85" customWidth="1"/>
    <col min="15366" max="15366" width="24" style="85" customWidth="1"/>
    <col min="15367" max="15367" width="39" style="85" customWidth="1"/>
    <col min="15368" max="15618" width="9.14285714285714" style="85"/>
    <col min="15619" max="15619" width="28.4285714285714" style="85" customWidth="1"/>
    <col min="15620" max="15620" width="3.85714285714286" style="85" customWidth="1"/>
    <col min="15621" max="15621" width="4.42857142857143" style="85" customWidth="1"/>
    <col min="15622" max="15622" width="24" style="85" customWidth="1"/>
    <col min="15623" max="15623" width="39" style="85" customWidth="1"/>
    <col min="15624" max="15874" width="9.14285714285714" style="85"/>
    <col min="15875" max="15875" width="28.4285714285714" style="85" customWidth="1"/>
    <col min="15876" max="15876" width="3.85714285714286" style="85" customWidth="1"/>
    <col min="15877" max="15877" width="4.42857142857143" style="85" customWidth="1"/>
    <col min="15878" max="15878" width="24" style="85" customWidth="1"/>
    <col min="15879" max="15879" width="39" style="85" customWidth="1"/>
    <col min="15880" max="16130" width="9.14285714285714" style="85"/>
    <col min="16131" max="16131" width="28.4285714285714" style="85" customWidth="1"/>
    <col min="16132" max="16132" width="3.85714285714286" style="85" customWidth="1"/>
    <col min="16133" max="16133" width="4.42857142857143" style="85" customWidth="1"/>
    <col min="16134" max="16134" width="24" style="85" customWidth="1"/>
    <col min="16135" max="16135" width="39" style="85" customWidth="1"/>
    <col min="16136" max="16384" width="9.14285714285714" style="85"/>
  </cols>
  <sheetData>
    <row r="2" spans="1:17">
      <c r="A2" s="85" t="s">
        <v>301</v>
      </c>
      <c r="H2" s="85">
        <v>1</v>
      </c>
      <c r="I2" s="85">
        <v>2</v>
      </c>
      <c r="J2" s="85">
        <v>3</v>
      </c>
      <c r="K2" s="85">
        <v>4</v>
      </c>
      <c r="L2" s="85">
        <v>5</v>
      </c>
      <c r="M2" s="85">
        <v>6</v>
      </c>
      <c r="N2" s="85">
        <v>7</v>
      </c>
      <c r="O2" s="85">
        <v>8</v>
      </c>
      <c r="P2" s="85">
        <v>9</v>
      </c>
      <c r="Q2" s="85">
        <v>10</v>
      </c>
    </row>
    <row r="3" spans="1:17">
      <c r="A3" s="85" t="s">
        <v>302</v>
      </c>
      <c r="C3" s="85" t="s">
        <v>303</v>
      </c>
      <c r="D3" s="85" t="s">
        <v>304</v>
      </c>
      <c r="E3" s="85" t="s">
        <v>305</v>
      </c>
      <c r="F3" s="85" t="s">
        <v>306</v>
      </c>
      <c r="H3" s="85" t="str">
        <f>A3</f>
        <v>EIU default</v>
      </c>
      <c r="I3" s="85" t="str">
        <f>A4</f>
        <v>Spare#1</v>
      </c>
      <c r="J3" s="85" t="str">
        <f>A5</f>
        <v>Spare#2</v>
      </c>
      <c r="K3" s="85" t="str">
        <f>A6</f>
        <v>Spare#3</v>
      </c>
      <c r="L3" s="85" t="str">
        <f>A7</f>
        <v>Spare#4</v>
      </c>
      <c r="M3" s="85" t="str">
        <f>A8</f>
        <v>Spare#5</v>
      </c>
      <c r="N3" s="85" t="str">
        <f>A9</f>
        <v>Spare#6</v>
      </c>
      <c r="O3" s="85" t="str">
        <f>A10</f>
        <v>Spare#7</v>
      </c>
      <c r="P3" s="85" t="str">
        <f>A11</f>
        <v>Spare#8</v>
      </c>
      <c r="Q3" s="85" t="str">
        <f>A12</f>
        <v>Spare#9</v>
      </c>
    </row>
    <row r="4" spans="1:1">
      <c r="A4" s="85" t="s">
        <v>53</v>
      </c>
    </row>
    <row r="5" spans="1:1">
      <c r="A5" s="85" t="s">
        <v>54</v>
      </c>
    </row>
    <row r="6" spans="1:1">
      <c r="A6" s="85" t="s">
        <v>55</v>
      </c>
    </row>
    <row r="7" spans="1:17">
      <c r="A7" s="85" t="s">
        <v>307</v>
      </c>
      <c r="C7" s="85" t="str">
        <f>tblIndiSets!A4</f>
        <v>DIGSEC</v>
      </c>
      <c r="D7" s="85">
        <f>tblIndiSets!B4</f>
        <v>2</v>
      </c>
      <c r="E7" s="85">
        <f ca="1">INDEX(OFFSET(lu_indicode,0,2),D7)</f>
        <v>1</v>
      </c>
      <c r="F7" s="85" t="str">
        <f>tblIndiSets!C4</f>
        <v>1) DIGITAL SECURITY</v>
      </c>
      <c r="G7" s="85" t="str">
        <f ca="1">IF(E7=1,UPPER(F7),F7)</f>
        <v>1) DIGITAL SECURITY</v>
      </c>
      <c r="H7" s="85">
        <v>1</v>
      </c>
      <c r="I7" s="85">
        <v>1</v>
      </c>
      <c r="J7" s="85">
        <v>1</v>
      </c>
      <c r="K7" s="85">
        <v>1</v>
      </c>
      <c r="L7" s="85">
        <v>1</v>
      </c>
      <c r="M7" s="85">
        <v>1</v>
      </c>
      <c r="N7" s="85">
        <v>1</v>
      </c>
      <c r="O7" s="85">
        <v>1</v>
      </c>
      <c r="P7" s="85">
        <v>1</v>
      </c>
      <c r="Q7" s="85">
        <v>1</v>
      </c>
    </row>
    <row r="8" spans="1:17">
      <c r="A8" s="85" t="s">
        <v>308</v>
      </c>
      <c r="C8" s="85" t="str">
        <f>tblIndiSets!A5</f>
        <v>HELSEC</v>
      </c>
      <c r="D8" s="85">
        <f>tblIndiSets!B5</f>
        <v>14</v>
      </c>
      <c r="E8" s="85" t="str">
        <f ca="1">INDEX(OFFSET(lu_indicode,0,2),D8)</f>
        <v>2</v>
      </c>
      <c r="F8" s="85" t="str">
        <f>tblIndiSets!C5</f>
        <v>2) HEALTH SECURITY</v>
      </c>
      <c r="G8" s="85" t="str">
        <f ca="1">IF(E8=1,UPPER(F8),F8)</f>
        <v>2) HEALTH SECURITY</v>
      </c>
      <c r="H8" s="85">
        <v>1</v>
      </c>
      <c r="I8" s="85">
        <v>1</v>
      </c>
      <c r="J8" s="85">
        <v>1</v>
      </c>
      <c r="K8" s="85">
        <v>1</v>
      </c>
      <c r="L8" s="85">
        <v>1</v>
      </c>
      <c r="M8" s="85">
        <v>1</v>
      </c>
      <c r="N8" s="85">
        <v>1</v>
      </c>
      <c r="O8" s="85">
        <v>1</v>
      </c>
      <c r="P8" s="85">
        <v>1</v>
      </c>
      <c r="Q8" s="85">
        <v>1</v>
      </c>
    </row>
    <row r="9" spans="1:17">
      <c r="A9" s="85" t="s">
        <v>309</v>
      </c>
      <c r="C9" s="85" t="str">
        <f>tblIndiSets!A6</f>
        <v>INFSAF</v>
      </c>
      <c r="D9" s="85">
        <f>tblIndiSets!B6</f>
        <v>28</v>
      </c>
      <c r="E9" s="85" t="str">
        <f ca="1">INDEX(OFFSET(lu_indicode,0,2),D9)</f>
        <v>3</v>
      </c>
      <c r="F9" s="85" t="str">
        <f>tblIndiSets!C6</f>
        <v>3) INFRASTRUCTURE SAFETY</v>
      </c>
      <c r="G9" s="85" t="str">
        <f ca="1">IF(E9=1,UPPER(F9),F9)</f>
        <v>3) INFRASTRUCTURE SAFETY</v>
      </c>
      <c r="H9" s="85">
        <v>1</v>
      </c>
      <c r="I9" s="85">
        <v>1</v>
      </c>
      <c r="J9" s="85">
        <v>1</v>
      </c>
      <c r="K9" s="85">
        <v>1</v>
      </c>
      <c r="L9" s="85">
        <v>1</v>
      </c>
      <c r="M9" s="85">
        <v>1</v>
      </c>
      <c r="N9" s="85">
        <v>1</v>
      </c>
      <c r="O9" s="85">
        <v>1</v>
      </c>
      <c r="P9" s="85">
        <v>1</v>
      </c>
      <c r="Q9" s="85">
        <v>1</v>
      </c>
    </row>
    <row r="10" spans="1:17">
      <c r="A10" s="85" t="s">
        <v>310</v>
      </c>
      <c r="C10" s="85" t="str">
        <f>tblIndiSets!A7</f>
        <v>PERSAF</v>
      </c>
      <c r="D10" s="85">
        <f>tblIndiSets!B7</f>
        <v>40</v>
      </c>
      <c r="E10" s="85" t="str">
        <f ca="1">INDEX(OFFSET(lu_indicode,0,2),D10)</f>
        <v>4</v>
      </c>
      <c r="F10" s="85" t="str">
        <f>tblIndiSets!C7</f>
        <v>4) PERSONAL SAFETY</v>
      </c>
      <c r="G10" s="85" t="str">
        <f ca="1">IF(E10=1,UPPER(F10),F10)</f>
        <v>4) PERSONAL SAFETY</v>
      </c>
      <c r="H10" s="85">
        <v>1</v>
      </c>
      <c r="I10" s="85">
        <v>1</v>
      </c>
      <c r="J10" s="85">
        <v>1</v>
      </c>
      <c r="K10" s="85">
        <v>1</v>
      </c>
      <c r="L10" s="85">
        <v>1</v>
      </c>
      <c r="M10" s="85">
        <v>1</v>
      </c>
      <c r="N10" s="85">
        <v>1</v>
      </c>
      <c r="O10" s="85">
        <v>1</v>
      </c>
      <c r="P10" s="85">
        <v>1</v>
      </c>
      <c r="Q10" s="85">
        <v>1</v>
      </c>
    </row>
    <row r="11" spans="1:1">
      <c r="A11" s="85" t="s">
        <v>311</v>
      </c>
    </row>
    <row r="12" spans="1:1">
      <c r="A12" s="85" t="s">
        <v>312</v>
      </c>
    </row>
    <row r="13" spans="3:17">
      <c r="C13" s="85" t="str">
        <f>tblIndiSets!A10</f>
        <v>DIGSEC_IP</v>
      </c>
      <c r="D13" s="85">
        <f>tblIndiSets!B10</f>
        <v>3</v>
      </c>
      <c r="E13" s="85" t="str">
        <f ca="1" t="shared" ref="E13:E20" si="0">INDEX(OFFSET(lu_indicode,0,2),D13)</f>
        <v>1.1</v>
      </c>
      <c r="F13" s="85" t="str">
        <f>tblIndiSets!C10</f>
        <v>1.1) Digital Security (Inputs)</v>
      </c>
      <c r="G13" s="85" t="str">
        <f ca="1">IF(E13=1,UPPER(F13),F13)</f>
        <v>1.1) Digital Security (Inputs)</v>
      </c>
      <c r="H13" s="85">
        <v>1</v>
      </c>
      <c r="I13" s="85">
        <v>1</v>
      </c>
      <c r="J13" s="85">
        <v>1</v>
      </c>
      <c r="K13" s="85">
        <v>1</v>
      </c>
      <c r="L13" s="85">
        <v>1</v>
      </c>
      <c r="M13" s="85">
        <v>1</v>
      </c>
      <c r="N13" s="85">
        <v>1</v>
      </c>
      <c r="O13" s="85">
        <v>1</v>
      </c>
      <c r="P13" s="85">
        <v>1</v>
      </c>
      <c r="Q13" s="85">
        <v>1</v>
      </c>
    </row>
    <row r="14" spans="3:17">
      <c r="C14" s="85" t="str">
        <f>tblIndiSets!A11</f>
        <v>DIGSEC_OP</v>
      </c>
      <c r="D14" s="85">
        <f>tblIndiSets!B11</f>
        <v>10</v>
      </c>
      <c r="E14" s="85" t="str">
        <f ca="1" t="shared" si="0"/>
        <v>1.2</v>
      </c>
      <c r="F14" s="85" t="str">
        <f>tblIndiSets!C11</f>
        <v>1.2) Digital Security (Outputs)</v>
      </c>
      <c r="G14" s="85" t="str">
        <f ca="1" t="shared" ref="G14:G20" si="1">IF(E14=1,UPPER(F14),F14)</f>
        <v>1.2) Digital Security (Outputs)</v>
      </c>
      <c r="H14" s="85">
        <v>1</v>
      </c>
      <c r="I14" s="85">
        <v>1</v>
      </c>
      <c r="J14" s="85">
        <v>1</v>
      </c>
      <c r="K14" s="85">
        <v>1</v>
      </c>
      <c r="L14" s="85">
        <v>1</v>
      </c>
      <c r="M14" s="85">
        <v>1</v>
      </c>
      <c r="N14" s="85">
        <v>1</v>
      </c>
      <c r="O14" s="85">
        <v>1</v>
      </c>
      <c r="P14" s="85">
        <v>1</v>
      </c>
      <c r="Q14" s="85">
        <v>1</v>
      </c>
    </row>
    <row r="15" spans="3:17">
      <c r="C15" s="85" t="str">
        <f>tblIndiSets!A12</f>
        <v>HELSEC_IP</v>
      </c>
      <c r="D15" s="85">
        <f>tblIndiSets!B12</f>
        <v>15</v>
      </c>
      <c r="E15" s="85" t="str">
        <f ca="1" t="shared" si="0"/>
        <v>2.1</v>
      </c>
      <c r="F15" s="85" t="str">
        <f>tblIndiSets!C12</f>
        <v>2.1) Health Security (Inputs)</v>
      </c>
      <c r="G15" s="85" t="str">
        <f ca="1" t="shared" si="1"/>
        <v>2.1) Health Security (Inputs)</v>
      </c>
      <c r="H15" s="85">
        <v>1</v>
      </c>
      <c r="I15" s="85">
        <v>1</v>
      </c>
      <c r="J15" s="85">
        <v>1</v>
      </c>
      <c r="K15" s="85">
        <v>1</v>
      </c>
      <c r="L15" s="85">
        <v>1</v>
      </c>
      <c r="M15" s="85">
        <v>1</v>
      </c>
      <c r="N15" s="85">
        <v>1</v>
      </c>
      <c r="O15" s="85">
        <v>1</v>
      </c>
      <c r="P15" s="85">
        <v>1</v>
      </c>
      <c r="Q15" s="85">
        <v>1</v>
      </c>
    </row>
    <row r="16" spans="3:17">
      <c r="C16" s="85" t="str">
        <f>tblIndiSets!A13</f>
        <v>HELSEC_OP</v>
      </c>
      <c r="D16" s="85">
        <f>tblIndiSets!B13</f>
        <v>22</v>
      </c>
      <c r="E16" s="85" t="str">
        <f ca="1" t="shared" si="0"/>
        <v>2.2</v>
      </c>
      <c r="F16" s="85" t="str">
        <f>tblIndiSets!C13</f>
        <v>2.2) Health Security (Outputs)</v>
      </c>
      <c r="G16" s="85" t="str">
        <f ca="1" t="shared" si="1"/>
        <v>2.2) Health Security (Outputs)</v>
      </c>
      <c r="H16" s="85">
        <v>1</v>
      </c>
      <c r="I16" s="85">
        <v>1</v>
      </c>
      <c r="J16" s="85">
        <v>1</v>
      </c>
      <c r="K16" s="85">
        <v>1</v>
      </c>
      <c r="L16" s="85">
        <v>1</v>
      </c>
      <c r="M16" s="85">
        <v>1</v>
      </c>
      <c r="N16" s="85">
        <v>1</v>
      </c>
      <c r="O16" s="85">
        <v>1</v>
      </c>
      <c r="P16" s="85">
        <v>1</v>
      </c>
      <c r="Q16" s="85">
        <v>1</v>
      </c>
    </row>
    <row r="17" spans="3:17">
      <c r="C17" s="85" t="str">
        <f>tblIndiSets!A14</f>
        <v>INFSAF_IP</v>
      </c>
      <c r="D17" s="85">
        <f>tblIndiSets!B14</f>
        <v>29</v>
      </c>
      <c r="E17" s="85" t="str">
        <f ca="1" t="shared" si="0"/>
        <v>3.1</v>
      </c>
      <c r="F17" s="85" t="str">
        <f>tblIndiSets!C14</f>
        <v>3.1) Infrastructure Safety (Inputs)</v>
      </c>
      <c r="G17" s="85" t="str">
        <f ca="1" t="shared" si="1"/>
        <v>3.1) Infrastructure Safety (Inputs)</v>
      </c>
      <c r="H17" s="85">
        <v>1</v>
      </c>
      <c r="I17" s="85">
        <v>1</v>
      </c>
      <c r="J17" s="85">
        <v>1</v>
      </c>
      <c r="K17" s="85">
        <v>1</v>
      </c>
      <c r="L17" s="85">
        <v>1</v>
      </c>
      <c r="M17" s="85">
        <v>1</v>
      </c>
      <c r="N17" s="85">
        <v>1</v>
      </c>
      <c r="O17" s="85">
        <v>1</v>
      </c>
      <c r="P17" s="85">
        <v>1</v>
      </c>
      <c r="Q17" s="85">
        <v>1</v>
      </c>
    </row>
    <row r="18" spans="3:17">
      <c r="C18" s="85" t="str">
        <f>tblIndiSets!A15</f>
        <v>INFSAF_OP</v>
      </c>
      <c r="D18" s="85">
        <f>tblIndiSets!B15</f>
        <v>35</v>
      </c>
      <c r="E18" s="85" t="str">
        <f ca="1" t="shared" si="0"/>
        <v>3.2</v>
      </c>
      <c r="F18" s="85" t="str">
        <f>tblIndiSets!C15</f>
        <v>3.2) Infrastructure Safety (Outputs)</v>
      </c>
      <c r="G18" s="85" t="str">
        <f ca="1" t="shared" si="1"/>
        <v>3.2) Infrastructure Safety (Outputs)</v>
      </c>
      <c r="H18" s="85">
        <v>1</v>
      </c>
      <c r="I18" s="85">
        <v>1</v>
      </c>
      <c r="J18" s="85">
        <v>1</v>
      </c>
      <c r="K18" s="85">
        <v>1</v>
      </c>
      <c r="L18" s="85">
        <v>1</v>
      </c>
      <c r="M18" s="85">
        <v>1</v>
      </c>
      <c r="N18" s="85">
        <v>1</v>
      </c>
      <c r="O18" s="85">
        <v>1</v>
      </c>
      <c r="P18" s="85">
        <v>1</v>
      </c>
      <c r="Q18" s="85">
        <v>1</v>
      </c>
    </row>
    <row r="19" spans="3:17">
      <c r="C19" s="85" t="str">
        <f>tblIndiSets!A16</f>
        <v>PERSAF_IP</v>
      </c>
      <c r="D19" s="85">
        <f>tblIndiSets!B16</f>
        <v>41</v>
      </c>
      <c r="E19" s="85" t="str">
        <f ca="1" t="shared" si="0"/>
        <v>4.1</v>
      </c>
      <c r="F19" s="85" t="str">
        <f>tblIndiSets!C16</f>
        <v>4.1) Personal Safety (Inputs)</v>
      </c>
      <c r="G19" s="85" t="str">
        <f ca="1" t="shared" si="1"/>
        <v>4.1) Personal Safety (Inputs)</v>
      </c>
      <c r="H19" s="85">
        <v>1</v>
      </c>
      <c r="I19" s="85">
        <v>1</v>
      </c>
      <c r="J19" s="85">
        <v>1</v>
      </c>
      <c r="K19" s="85">
        <v>1</v>
      </c>
      <c r="L19" s="85">
        <v>1</v>
      </c>
      <c r="M19" s="85">
        <v>1</v>
      </c>
      <c r="N19" s="85">
        <v>1</v>
      </c>
      <c r="O19" s="85">
        <v>1</v>
      </c>
      <c r="P19" s="85">
        <v>1</v>
      </c>
      <c r="Q19" s="85">
        <v>1</v>
      </c>
    </row>
    <row r="20" spans="3:17">
      <c r="C20" s="85" t="str">
        <f>tblIndiSets!A17</f>
        <v>PERSAF_OP</v>
      </c>
      <c r="D20" s="85">
        <f>tblIndiSets!B17</f>
        <v>49</v>
      </c>
      <c r="E20" s="85" t="str">
        <f ca="1" t="shared" si="0"/>
        <v>4.2</v>
      </c>
      <c r="F20" s="85" t="str">
        <f>tblIndiSets!C17</f>
        <v>4.2) Personal Safety (Outputs)</v>
      </c>
      <c r="G20" s="85" t="str">
        <f ca="1" t="shared" si="1"/>
        <v>4.2) Personal Safety (Outputs)</v>
      </c>
      <c r="H20" s="85">
        <v>1</v>
      </c>
      <c r="I20" s="85">
        <v>1</v>
      </c>
      <c r="J20" s="85">
        <v>1</v>
      </c>
      <c r="K20" s="85">
        <v>1</v>
      </c>
      <c r="L20" s="85">
        <v>1</v>
      </c>
      <c r="M20" s="85">
        <v>1</v>
      </c>
      <c r="N20" s="85">
        <v>1</v>
      </c>
      <c r="O20" s="85">
        <v>1</v>
      </c>
      <c r="P20" s="85">
        <v>1</v>
      </c>
      <c r="Q20" s="85">
        <v>1</v>
      </c>
    </row>
    <row r="23" spans="3:7">
      <c r="C23" s="85" t="str">
        <f>tblIndiSets!A20</f>
        <v>DIGSEC_IP</v>
      </c>
      <c r="D23" s="85">
        <f>tblIndiSets!B20</f>
        <v>3</v>
      </c>
      <c r="E23" s="85" t="str">
        <f ca="1" t="shared" ref="E23" si="2">INDEX(OFFSET(lu_indicode,0,2),D23)</f>
        <v>1.1</v>
      </c>
      <c r="F23" s="85" t="str">
        <f>tblIndiSets!C20</f>
        <v>1.1) Digital Security (Inputs)</v>
      </c>
      <c r="G23" s="85" t="str">
        <f ca="1" t="shared" ref="G23" si="3">IF(E23=1,UPPER(F23),F23)</f>
        <v>1.1) Digital Security (Inputs)</v>
      </c>
    </row>
    <row r="24" spans="3:17">
      <c r="C24" s="85" t="str">
        <f>tblIndiSets!A21</f>
        <v>DIGSEC_IP_01</v>
      </c>
      <c r="D24" s="85">
        <f>tblIndiSets!B21</f>
        <v>4</v>
      </c>
      <c r="E24" s="85" t="str">
        <f ca="1" t="shared" ref="E24" si="4">INDEX(OFFSET(lu_indicode,0,2),D24)</f>
        <v>1.1.1</v>
      </c>
      <c r="F24" s="85" t="str">
        <f>tblIndiSets!C21</f>
        <v>1.1.1) Privacy policy</v>
      </c>
      <c r="G24" s="85" t="str">
        <f ca="1" t="shared" ref="G24" si="5">IF(E24=1,UPPER(F24),F24)</f>
        <v>1.1.1) Privacy policy</v>
      </c>
      <c r="H24" s="85">
        <v>1</v>
      </c>
      <c r="I24" s="85">
        <v>1</v>
      </c>
      <c r="J24" s="85">
        <v>1</v>
      </c>
      <c r="K24" s="85">
        <v>1</v>
      </c>
      <c r="L24" s="85">
        <v>1</v>
      </c>
      <c r="M24" s="85">
        <v>1</v>
      </c>
      <c r="N24" s="85">
        <v>1</v>
      </c>
      <c r="O24" s="85">
        <v>1</v>
      </c>
      <c r="P24" s="85">
        <v>1</v>
      </c>
      <c r="Q24" s="85">
        <v>1</v>
      </c>
    </row>
    <row r="25" spans="3:17">
      <c r="C25" s="85" t="str">
        <f>tblIndiSets!A22</f>
        <v>DIGSEC_IP_02</v>
      </c>
      <c r="D25" s="85">
        <f>tblIndiSets!B22</f>
        <v>5</v>
      </c>
      <c r="E25" s="85" t="str">
        <f ca="1" t="shared" ref="E25:E74" si="6">INDEX(OFFSET(lu_indicode,0,2),D25)</f>
        <v>1.1.2</v>
      </c>
      <c r="F25" s="85" t="str">
        <f>tblIndiSets!C22</f>
        <v>1.1.2) Citizen awareness of digital threats</v>
      </c>
      <c r="G25" s="85" t="str">
        <f ca="1" t="shared" ref="G25:G74" si="7">IF(E25=1,UPPER(F25),F25)</f>
        <v>1.1.2) Citizen awareness of digital threats</v>
      </c>
      <c r="H25" s="85">
        <v>1</v>
      </c>
      <c r="I25" s="85">
        <v>1</v>
      </c>
      <c r="J25" s="85">
        <v>1</v>
      </c>
      <c r="K25" s="85">
        <v>1</v>
      </c>
      <c r="L25" s="85">
        <v>1</v>
      </c>
      <c r="M25" s="85">
        <v>1</v>
      </c>
      <c r="N25" s="85">
        <v>1</v>
      </c>
      <c r="O25" s="85">
        <v>1</v>
      </c>
      <c r="P25" s="85">
        <v>1</v>
      </c>
      <c r="Q25" s="85">
        <v>1</v>
      </c>
    </row>
    <row r="26" spans="3:17">
      <c r="C26" s="85" t="str">
        <f>tblIndiSets!A23</f>
        <v>DIGSEC_IP_03</v>
      </c>
      <c r="D26" s="85">
        <f>tblIndiSets!B23</f>
        <v>6</v>
      </c>
      <c r="E26" s="85" t="str">
        <f ca="1" t="shared" si="6"/>
        <v>1.1.3</v>
      </c>
      <c r="F26" s="85" t="str">
        <f>tblIndiSets!C23</f>
        <v>1.1.3) City reliance on digital infrastructure</v>
      </c>
      <c r="G26" s="85" t="str">
        <f ca="1" t="shared" si="7"/>
        <v>1.1.3) City reliance on digital infrastructure</v>
      </c>
      <c r="H26" s="85">
        <v>0</v>
      </c>
      <c r="I26" s="85">
        <v>1</v>
      </c>
      <c r="J26" s="85">
        <v>1</v>
      </c>
      <c r="K26" s="85">
        <v>1</v>
      </c>
      <c r="L26" s="85">
        <v>1</v>
      </c>
      <c r="M26" s="85">
        <v>1</v>
      </c>
      <c r="N26" s="85">
        <v>1</v>
      </c>
      <c r="O26" s="85">
        <v>1</v>
      </c>
      <c r="P26" s="85">
        <v>1</v>
      </c>
      <c r="Q26" s="85">
        <v>1</v>
      </c>
    </row>
    <row r="27" spans="3:17">
      <c r="C27" s="85" t="str">
        <f>tblIndiSets!A24</f>
        <v>DIGSEC_IP_04</v>
      </c>
      <c r="D27" s="85">
        <f>tblIndiSets!B24</f>
        <v>7</v>
      </c>
      <c r="E27" s="85" t="str">
        <f ca="1" t="shared" si="6"/>
        <v>1.1.4</v>
      </c>
      <c r="F27" s="85" t="str">
        <f>tblIndiSets!C24</f>
        <v>1.1.4) Public-private partnerships</v>
      </c>
      <c r="G27" s="85" t="str">
        <f ca="1" t="shared" si="7"/>
        <v>1.1.4) Public-private partnerships</v>
      </c>
      <c r="H27" s="85">
        <v>1</v>
      </c>
      <c r="I27" s="85">
        <v>1</v>
      </c>
      <c r="J27" s="85">
        <v>1</v>
      </c>
      <c r="K27" s="85">
        <v>1</v>
      </c>
      <c r="L27" s="85">
        <v>1</v>
      </c>
      <c r="M27" s="85">
        <v>1</v>
      </c>
      <c r="N27" s="85">
        <v>1</v>
      </c>
      <c r="O27" s="85">
        <v>1</v>
      </c>
      <c r="P27" s="85">
        <v>1</v>
      </c>
      <c r="Q27" s="85">
        <v>1</v>
      </c>
    </row>
    <row r="28" spans="3:17">
      <c r="C28" s="85" t="str">
        <f>tblIndiSets!A25</f>
        <v>DIGSEC_IP_05</v>
      </c>
      <c r="D28" s="85">
        <f>tblIndiSets!B25</f>
        <v>8</v>
      </c>
      <c r="E28" s="85" t="str">
        <f ca="1" t="shared" si="6"/>
        <v>1.1.5</v>
      </c>
      <c r="F28" s="85" t="str">
        <f>tblIndiSets!C25</f>
        <v>1.1.5) Level of technology employed</v>
      </c>
      <c r="G28" s="85" t="str">
        <f ca="1" t="shared" si="7"/>
        <v>1.1.5) Level of technology employed</v>
      </c>
      <c r="H28" s="85">
        <v>1</v>
      </c>
      <c r="I28" s="85">
        <v>1</v>
      </c>
      <c r="J28" s="85">
        <v>1</v>
      </c>
      <c r="K28" s="85">
        <v>1</v>
      </c>
      <c r="L28" s="85">
        <v>1</v>
      </c>
      <c r="M28" s="85">
        <v>1</v>
      </c>
      <c r="N28" s="85">
        <v>1</v>
      </c>
      <c r="O28" s="85">
        <v>1</v>
      </c>
      <c r="P28" s="85">
        <v>1</v>
      </c>
      <c r="Q28" s="85">
        <v>1</v>
      </c>
    </row>
    <row r="29" spans="3:17">
      <c r="C29" s="85" t="str">
        <f>tblIndiSets!A26</f>
        <v>DIGSEC_IP_06</v>
      </c>
      <c r="D29" s="85">
        <f>tblIndiSets!B26</f>
        <v>9</v>
      </c>
      <c r="E29" s="85" t="str">
        <f ca="1" t="shared" si="6"/>
        <v>1.1.6</v>
      </c>
      <c r="F29" s="85" t="str">
        <f>tblIndiSets!C26</f>
        <v>1.1.6) Dedicated cyber security teams</v>
      </c>
      <c r="G29" s="85" t="str">
        <f ca="1" t="shared" si="7"/>
        <v>1.1.6) Dedicated cyber security teams</v>
      </c>
      <c r="H29" s="85">
        <v>1</v>
      </c>
      <c r="I29" s="85">
        <v>1</v>
      </c>
      <c r="J29" s="85">
        <v>1</v>
      </c>
      <c r="K29" s="85">
        <v>1</v>
      </c>
      <c r="L29" s="85">
        <v>1</v>
      </c>
      <c r="M29" s="85">
        <v>1</v>
      </c>
      <c r="N29" s="85">
        <v>1</v>
      </c>
      <c r="O29" s="85">
        <v>1</v>
      </c>
      <c r="P29" s="85">
        <v>1</v>
      </c>
      <c r="Q29" s="85">
        <v>1</v>
      </c>
    </row>
    <row r="30" spans="3:7">
      <c r="C30" s="85" t="str">
        <f>tblIndiSets!A27</f>
        <v>DIGSEC_OP</v>
      </c>
      <c r="D30" s="85">
        <f>tblIndiSets!B27</f>
        <v>10</v>
      </c>
      <c r="E30" s="85" t="str">
        <f ca="1" t="shared" si="6"/>
        <v>1.2</v>
      </c>
      <c r="F30" s="85" t="str">
        <f>tblIndiSets!C27</f>
        <v>1.2) Digital Security (Outputs)</v>
      </c>
      <c r="G30" s="85" t="str">
        <f ca="1" t="shared" si="7"/>
        <v>1.2) Digital Security (Outputs)</v>
      </c>
    </row>
    <row r="31" spans="3:17">
      <c r="C31" s="85" t="str">
        <f>tblIndiSets!A28</f>
        <v>DIGSEC_OP_01</v>
      </c>
      <c r="D31" s="85">
        <f>tblIndiSets!B28</f>
        <v>11</v>
      </c>
      <c r="E31" s="85" t="str">
        <f ca="1" t="shared" si="6"/>
        <v>1.2.1</v>
      </c>
      <c r="F31" s="85" t="str">
        <f>tblIndiSets!C28</f>
        <v>1.2.1) Frequency of identity theft</v>
      </c>
      <c r="G31" s="85" t="str">
        <f ca="1" t="shared" si="7"/>
        <v>1.2.1) Frequency of identity theft</v>
      </c>
      <c r="H31" s="85">
        <v>1</v>
      </c>
      <c r="I31" s="85">
        <v>1</v>
      </c>
      <c r="J31" s="85">
        <v>1</v>
      </c>
      <c r="K31" s="85">
        <v>1</v>
      </c>
      <c r="L31" s="85">
        <v>1</v>
      </c>
      <c r="M31" s="85">
        <v>1</v>
      </c>
      <c r="N31" s="85">
        <v>1</v>
      </c>
      <c r="O31" s="85">
        <v>1</v>
      </c>
      <c r="P31" s="85">
        <v>1</v>
      </c>
      <c r="Q31" s="85">
        <v>1</v>
      </c>
    </row>
    <row r="32" spans="3:17">
      <c r="C32" s="85" t="str">
        <f>tblIndiSets!A29</f>
        <v>DIGSEC_OP_02</v>
      </c>
      <c r="D32" s="85">
        <f>tblIndiSets!B29</f>
        <v>12</v>
      </c>
      <c r="E32" s="85" t="str">
        <f ca="1" t="shared" si="6"/>
        <v>1.2.2</v>
      </c>
      <c r="F32" s="85" t="str">
        <f>tblIndiSets!C29</f>
        <v>1.2.2) Precentage of computers infected</v>
      </c>
      <c r="G32" s="85" t="str">
        <f ca="1" t="shared" si="7"/>
        <v>1.2.2) Precentage of computers infected</v>
      </c>
      <c r="H32" s="85">
        <v>1</v>
      </c>
      <c r="I32" s="85">
        <v>1</v>
      </c>
      <c r="J32" s="85">
        <v>1</v>
      </c>
      <c r="K32" s="85">
        <v>1</v>
      </c>
      <c r="L32" s="85">
        <v>1</v>
      </c>
      <c r="M32" s="85">
        <v>1</v>
      </c>
      <c r="N32" s="85">
        <v>1</v>
      </c>
      <c r="O32" s="85">
        <v>1</v>
      </c>
      <c r="P32" s="85">
        <v>1</v>
      </c>
      <c r="Q32" s="85">
        <v>1</v>
      </c>
    </row>
    <row r="33" spans="3:17">
      <c r="C33" s="85" t="str">
        <f>tblIndiSets!A30</f>
        <v>DIGSEC_OP_03</v>
      </c>
      <c r="D33" s="85">
        <f>tblIndiSets!B30</f>
        <v>13</v>
      </c>
      <c r="E33" s="85" t="str">
        <f ca="1" t="shared" si="6"/>
        <v>1.2.3</v>
      </c>
      <c r="F33" s="85" t="str">
        <f>tblIndiSets!C30</f>
        <v>1.2.3) Percent with internet access</v>
      </c>
      <c r="G33" s="85" t="str">
        <f ca="1" t="shared" si="7"/>
        <v>1.2.3) Percent with internet access</v>
      </c>
      <c r="H33" s="85">
        <v>1</v>
      </c>
      <c r="I33" s="85">
        <v>1</v>
      </c>
      <c r="J33" s="85">
        <v>1</v>
      </c>
      <c r="K33" s="85">
        <v>1</v>
      </c>
      <c r="L33" s="85">
        <v>1</v>
      </c>
      <c r="M33" s="85">
        <v>1</v>
      </c>
      <c r="N33" s="85">
        <v>1</v>
      </c>
      <c r="O33" s="85">
        <v>1</v>
      </c>
      <c r="P33" s="85">
        <v>1</v>
      </c>
      <c r="Q33" s="85">
        <v>1</v>
      </c>
    </row>
    <row r="34" spans="3:7">
      <c r="C34" s="85" t="str">
        <f>tblIndiSets!A31</f>
        <v>HELSEC_IP</v>
      </c>
      <c r="D34" s="85">
        <f>tblIndiSets!B31</f>
        <v>15</v>
      </c>
      <c r="E34" s="85" t="str">
        <f ca="1" t="shared" si="6"/>
        <v>2.1</v>
      </c>
      <c r="F34" s="85" t="str">
        <f>tblIndiSets!C31</f>
        <v>2.1) Health Security (Inputs)</v>
      </c>
      <c r="G34" s="85" t="str">
        <f ca="1" t="shared" si="7"/>
        <v>2.1) Health Security (Inputs)</v>
      </c>
    </row>
    <row r="35" spans="3:17">
      <c r="C35" s="85" t="str">
        <f>tblIndiSets!A32</f>
        <v>HELSEC_IP_01</v>
      </c>
      <c r="D35" s="85">
        <f>tblIndiSets!B32</f>
        <v>16</v>
      </c>
      <c r="E35" s="85" t="str">
        <f ca="1" t="shared" si="6"/>
        <v>2.1.1</v>
      </c>
      <c r="F35" s="85" t="str">
        <f>tblIndiSets!C32</f>
        <v>2.1.1) Environmental policies</v>
      </c>
      <c r="G35" s="85" t="str">
        <f ca="1" t="shared" si="7"/>
        <v>2.1.1) Environmental policies</v>
      </c>
      <c r="H35" s="85">
        <v>1</v>
      </c>
      <c r="I35" s="85">
        <v>1</v>
      </c>
      <c r="J35" s="85">
        <v>1</v>
      </c>
      <c r="K35" s="85">
        <v>1</v>
      </c>
      <c r="L35" s="85">
        <v>1</v>
      </c>
      <c r="M35" s="85">
        <v>1</v>
      </c>
      <c r="N35" s="85">
        <v>1</v>
      </c>
      <c r="O35" s="85">
        <v>1</v>
      </c>
      <c r="P35" s="85">
        <v>1</v>
      </c>
      <c r="Q35" s="85">
        <v>1</v>
      </c>
    </row>
    <row r="36" spans="3:17">
      <c r="C36" s="85" t="str">
        <f>tblIndiSets!A33</f>
        <v>HELSEC_IP_02</v>
      </c>
      <c r="D36" s="85">
        <f>tblIndiSets!B33</f>
        <v>17</v>
      </c>
      <c r="E36" s="85" t="str">
        <f ca="1" t="shared" si="6"/>
        <v>2.1.2</v>
      </c>
      <c r="F36" s="85" t="str">
        <f>tblIndiSets!C33</f>
        <v>2.1.2) Access to healthcare</v>
      </c>
      <c r="G36" s="85" t="str">
        <f ca="1" t="shared" si="7"/>
        <v>2.1.2) Access to healthcare</v>
      </c>
      <c r="H36" s="85">
        <v>1</v>
      </c>
      <c r="I36" s="85">
        <v>1</v>
      </c>
      <c r="J36" s="85">
        <v>1</v>
      </c>
      <c r="K36" s="85">
        <v>1</v>
      </c>
      <c r="L36" s="85">
        <v>1</v>
      </c>
      <c r="M36" s="85">
        <v>1</v>
      </c>
      <c r="N36" s="85">
        <v>1</v>
      </c>
      <c r="O36" s="85">
        <v>1</v>
      </c>
      <c r="P36" s="85">
        <v>1</v>
      </c>
      <c r="Q36" s="85">
        <v>1</v>
      </c>
    </row>
    <row r="37" spans="3:17">
      <c r="C37" s="85" t="str">
        <f>tblIndiSets!A34</f>
        <v>HELSEC_IP_03</v>
      </c>
      <c r="D37" s="85">
        <f>tblIndiSets!B34</f>
        <v>18</v>
      </c>
      <c r="E37" s="85" t="str">
        <f ca="1" t="shared" si="6"/>
        <v>2.1.3</v>
      </c>
      <c r="F37" s="85" t="str">
        <f>tblIndiSets!C34</f>
        <v>2.1.3) No. of beds per 1000</v>
      </c>
      <c r="G37" s="85" t="str">
        <f ca="1" t="shared" si="7"/>
        <v>2.1.3) No. of beds per 1000</v>
      </c>
      <c r="H37" s="85">
        <v>1</v>
      </c>
      <c r="I37" s="85">
        <v>1</v>
      </c>
      <c r="J37" s="85">
        <v>1</v>
      </c>
      <c r="K37" s="85">
        <v>1</v>
      </c>
      <c r="L37" s="85">
        <v>1</v>
      </c>
      <c r="M37" s="85">
        <v>1</v>
      </c>
      <c r="N37" s="85">
        <v>1</v>
      </c>
      <c r="O37" s="85">
        <v>1</v>
      </c>
      <c r="P37" s="85">
        <v>1</v>
      </c>
      <c r="Q37" s="85">
        <v>1</v>
      </c>
    </row>
    <row r="38" spans="3:17">
      <c r="C38" s="85" t="str">
        <f>tblIndiSets!A35</f>
        <v>HELSEC_IP_04</v>
      </c>
      <c r="D38" s="85">
        <f>tblIndiSets!B35</f>
        <v>19</v>
      </c>
      <c r="E38" s="85" t="str">
        <f ca="1" t="shared" si="6"/>
        <v>2.1.4</v>
      </c>
      <c r="F38" s="85" t="str">
        <f>tblIndiSets!C35</f>
        <v>2.1.4) Number of doctors per 1000</v>
      </c>
      <c r="G38" s="85" t="str">
        <f ca="1" t="shared" si="7"/>
        <v>2.1.4) Number of doctors per 1000</v>
      </c>
      <c r="H38" s="85">
        <v>1</v>
      </c>
      <c r="I38" s="85">
        <v>1</v>
      </c>
      <c r="J38" s="85">
        <v>1</v>
      </c>
      <c r="K38" s="85">
        <v>1</v>
      </c>
      <c r="L38" s="85">
        <v>1</v>
      </c>
      <c r="M38" s="85">
        <v>1</v>
      </c>
      <c r="N38" s="85">
        <v>1</v>
      </c>
      <c r="O38" s="85">
        <v>1</v>
      </c>
      <c r="P38" s="85">
        <v>1</v>
      </c>
      <c r="Q38" s="85">
        <v>1</v>
      </c>
    </row>
    <row r="39" spans="3:17">
      <c r="C39" s="85" t="str">
        <f>tblIndiSets!A36</f>
        <v>HELSEC_IP_05</v>
      </c>
      <c r="D39" s="85">
        <f>tblIndiSets!B36</f>
        <v>20</v>
      </c>
      <c r="E39" s="85" t="str">
        <f ca="1" t="shared" si="6"/>
        <v>2.1.5</v>
      </c>
      <c r="F39" s="85" t="str">
        <f>tblIndiSets!C36</f>
        <v>2.1.5) Access to safe and quality food</v>
      </c>
      <c r="G39" s="85" t="str">
        <f ca="1" t="shared" si="7"/>
        <v>2.1.5) Access to safe and quality food</v>
      </c>
      <c r="H39" s="85">
        <v>1</v>
      </c>
      <c r="I39" s="85">
        <v>1</v>
      </c>
      <c r="J39" s="85">
        <v>1</v>
      </c>
      <c r="K39" s="85">
        <v>1</v>
      </c>
      <c r="L39" s="85">
        <v>1</v>
      </c>
      <c r="M39" s="85">
        <v>1</v>
      </c>
      <c r="N39" s="85">
        <v>1</v>
      </c>
      <c r="O39" s="85">
        <v>1</v>
      </c>
      <c r="P39" s="85">
        <v>1</v>
      </c>
      <c r="Q39" s="85">
        <v>1</v>
      </c>
    </row>
    <row r="40" spans="3:17">
      <c r="C40" s="85" t="str">
        <f>tblIndiSets!A37</f>
        <v>HELSEC_IP_06</v>
      </c>
      <c r="D40" s="85">
        <f>tblIndiSets!B37</f>
        <v>21</v>
      </c>
      <c r="E40" s="85" t="str">
        <f ca="1" t="shared" si="6"/>
        <v>2.1.6</v>
      </c>
      <c r="F40" s="85" t="str">
        <f>tblIndiSets!C37</f>
        <v>2.1.6) Quality of health services</v>
      </c>
      <c r="G40" s="85" t="str">
        <f ca="1" t="shared" si="7"/>
        <v>2.1.6) Quality of health services</v>
      </c>
      <c r="H40" s="85">
        <v>1</v>
      </c>
      <c r="I40" s="85">
        <v>1</v>
      </c>
      <c r="J40" s="85">
        <v>1</v>
      </c>
      <c r="K40" s="85">
        <v>1</v>
      </c>
      <c r="L40" s="85">
        <v>1</v>
      </c>
      <c r="M40" s="85">
        <v>1</v>
      </c>
      <c r="N40" s="85">
        <v>1</v>
      </c>
      <c r="O40" s="85">
        <v>1</v>
      </c>
      <c r="P40" s="85">
        <v>1</v>
      </c>
      <c r="Q40" s="85">
        <v>1</v>
      </c>
    </row>
    <row r="41" spans="3:7">
      <c r="C41" s="85" t="str">
        <f>tblIndiSets!A38</f>
        <v>HELSEC_OP</v>
      </c>
      <c r="D41" s="85">
        <f>tblIndiSets!B38</f>
        <v>22</v>
      </c>
      <c r="E41" s="85" t="str">
        <f ca="1" t="shared" si="6"/>
        <v>2.2</v>
      </c>
      <c r="F41" s="85" t="str">
        <f>tblIndiSets!C38</f>
        <v>2.2) Health Security (Outputs)</v>
      </c>
      <c r="G41" s="85" t="str">
        <f ca="1" t="shared" si="7"/>
        <v>2.2) Health Security (Outputs)</v>
      </c>
    </row>
    <row r="42" spans="3:17">
      <c r="C42" s="85" t="str">
        <f>tblIndiSets!A39</f>
        <v>HELSEC_OP_01</v>
      </c>
      <c r="D42" s="85">
        <f>tblIndiSets!B39</f>
        <v>23</v>
      </c>
      <c r="E42" s="85" t="str">
        <f ca="1" t="shared" si="6"/>
        <v>2.2.1</v>
      </c>
      <c r="F42" s="85" t="str">
        <f>tblIndiSets!C39</f>
        <v>2.2.1) Air quality</v>
      </c>
      <c r="G42" s="85" t="str">
        <f ca="1" t="shared" si="7"/>
        <v>2.2.1) Air quality</v>
      </c>
      <c r="H42" s="85">
        <v>1</v>
      </c>
      <c r="I42" s="85">
        <v>1</v>
      </c>
      <c r="J42" s="85">
        <v>1</v>
      </c>
      <c r="K42" s="85">
        <v>1</v>
      </c>
      <c r="L42" s="85">
        <v>1</v>
      </c>
      <c r="M42" s="85">
        <v>1</v>
      </c>
      <c r="N42" s="85">
        <v>1</v>
      </c>
      <c r="O42" s="85">
        <v>1</v>
      </c>
      <c r="P42" s="85">
        <v>1</v>
      </c>
      <c r="Q42" s="85">
        <v>1</v>
      </c>
    </row>
    <row r="43" spans="3:17">
      <c r="C43" s="85" t="str">
        <f>tblIndiSets!A40</f>
        <v>HELSEC_OP_02</v>
      </c>
      <c r="D43" s="85">
        <f>tblIndiSets!B40</f>
        <v>24</v>
      </c>
      <c r="E43" s="85" t="str">
        <f ca="1" t="shared" si="6"/>
        <v>2.2.2</v>
      </c>
      <c r="F43" s="85" t="str">
        <f>tblIndiSets!C40</f>
        <v>2.2.2) Water quality</v>
      </c>
      <c r="G43" s="85" t="str">
        <f ca="1" t="shared" si="7"/>
        <v>2.2.2) Water quality</v>
      </c>
      <c r="H43" s="85">
        <v>1</v>
      </c>
      <c r="I43" s="85">
        <v>1</v>
      </c>
      <c r="J43" s="85">
        <v>1</v>
      </c>
      <c r="K43" s="85">
        <v>1</v>
      </c>
      <c r="L43" s="85">
        <v>1</v>
      </c>
      <c r="M43" s="85">
        <v>1</v>
      </c>
      <c r="N43" s="85">
        <v>1</v>
      </c>
      <c r="O43" s="85">
        <v>1</v>
      </c>
      <c r="P43" s="85">
        <v>1</v>
      </c>
      <c r="Q43" s="85">
        <v>1</v>
      </c>
    </row>
    <row r="44" spans="3:17">
      <c r="C44" s="85" t="str">
        <f>tblIndiSets!A41</f>
        <v>HELSEC_OP_03</v>
      </c>
      <c r="D44" s="85">
        <f>tblIndiSets!B41</f>
        <v>25</v>
      </c>
      <c r="E44" s="85" t="str">
        <f ca="1" t="shared" si="6"/>
        <v>2.2.3</v>
      </c>
      <c r="F44" s="85" t="str">
        <f>tblIndiSets!C41</f>
        <v>2.2.3) Life expectancy</v>
      </c>
      <c r="G44" s="85" t="str">
        <f ca="1" t="shared" si="7"/>
        <v>2.2.3) Life expectancy</v>
      </c>
      <c r="H44" s="85">
        <v>1</v>
      </c>
      <c r="I44" s="85">
        <v>1</v>
      </c>
      <c r="J44" s="85">
        <v>1</v>
      </c>
      <c r="K44" s="85">
        <v>1</v>
      </c>
      <c r="L44" s="85">
        <v>1</v>
      </c>
      <c r="M44" s="85">
        <v>1</v>
      </c>
      <c r="N44" s="85">
        <v>1</v>
      </c>
      <c r="O44" s="85">
        <v>1</v>
      </c>
      <c r="P44" s="85">
        <v>1</v>
      </c>
      <c r="Q44" s="85">
        <v>1</v>
      </c>
    </row>
    <row r="45" spans="3:17">
      <c r="C45" s="85" t="str">
        <f>tblIndiSets!A42</f>
        <v>HELSEC_OP_04</v>
      </c>
      <c r="D45" s="85">
        <f>tblIndiSets!B42</f>
        <v>26</v>
      </c>
      <c r="E45" s="85" t="str">
        <f ca="1" t="shared" si="6"/>
        <v>2.2.4</v>
      </c>
      <c r="F45" s="85" t="str">
        <f>tblIndiSets!C42</f>
        <v>2.2.4) Infant mortality (deaths per 1,000 live births)</v>
      </c>
      <c r="G45" s="85" t="str">
        <f ca="1" t="shared" si="7"/>
        <v>2.2.4) Infant mortality (deaths per 1,000 live births)</v>
      </c>
      <c r="H45" s="85">
        <v>1</v>
      </c>
      <c r="I45" s="85">
        <v>1</v>
      </c>
      <c r="J45" s="85">
        <v>1</v>
      </c>
      <c r="K45" s="85">
        <v>1</v>
      </c>
      <c r="L45" s="85">
        <v>1</v>
      </c>
      <c r="M45" s="85">
        <v>1</v>
      </c>
      <c r="N45" s="85">
        <v>1</v>
      </c>
      <c r="O45" s="85">
        <v>1</v>
      </c>
      <c r="P45" s="85">
        <v>1</v>
      </c>
      <c r="Q45" s="85">
        <v>1</v>
      </c>
    </row>
    <row r="46" spans="3:17">
      <c r="C46" s="85" t="str">
        <f>tblIndiSets!A43</f>
        <v>HELSEC_OP_05</v>
      </c>
      <c r="D46" s="85">
        <f>tblIndiSets!B43</f>
        <v>27</v>
      </c>
      <c r="E46" s="85" t="str">
        <f ca="1" t="shared" si="6"/>
        <v>2.2.5</v>
      </c>
      <c r="F46" s="85" t="str">
        <f>tblIndiSets!C43</f>
        <v>2.2.5) Cancer mortality rate ( Cancer deaths per 100,000)</v>
      </c>
      <c r="G46" s="85" t="str">
        <f ca="1" t="shared" si="7"/>
        <v>2.2.5) Cancer mortality rate ( Cancer deaths per 100,000)</v>
      </c>
      <c r="H46" s="85">
        <v>1</v>
      </c>
      <c r="I46" s="85">
        <v>1</v>
      </c>
      <c r="J46" s="85">
        <v>1</v>
      </c>
      <c r="K46" s="85">
        <v>1</v>
      </c>
      <c r="L46" s="85">
        <v>1</v>
      </c>
      <c r="M46" s="85">
        <v>1</v>
      </c>
      <c r="N46" s="85">
        <v>1</v>
      </c>
      <c r="O46" s="85">
        <v>1</v>
      </c>
      <c r="P46" s="85">
        <v>1</v>
      </c>
      <c r="Q46" s="85">
        <v>1</v>
      </c>
    </row>
    <row r="47" spans="3:7">
      <c r="C47" s="85" t="str">
        <f>tblIndiSets!A44</f>
        <v>INFSAF_IP</v>
      </c>
      <c r="D47" s="85">
        <f>tblIndiSets!B44</f>
        <v>29</v>
      </c>
      <c r="E47" s="85" t="str">
        <f ca="1" t="shared" si="6"/>
        <v>3.1</v>
      </c>
      <c r="F47" s="85" t="str">
        <f>tblIndiSets!C44</f>
        <v>3.1) Infrastructure Safety (Inputs)</v>
      </c>
      <c r="G47" s="85" t="str">
        <f ca="1" t="shared" si="7"/>
        <v>3.1) Infrastructure Safety (Inputs)</v>
      </c>
    </row>
    <row r="48" spans="3:17">
      <c r="C48" s="85" t="str">
        <f>tblIndiSets!A45</f>
        <v>INFSAF_IP_01</v>
      </c>
      <c r="D48" s="85">
        <f>tblIndiSets!B45</f>
        <v>30</v>
      </c>
      <c r="E48" s="85" t="str">
        <f ca="1" t="shared" si="6"/>
        <v>3.1.1</v>
      </c>
      <c r="F48" s="85" t="str">
        <f>tblIndiSets!C45</f>
        <v>3.1.1) Enforcement of transport safety</v>
      </c>
      <c r="G48" s="85" t="str">
        <f ca="1" t="shared" si="7"/>
        <v>3.1.1) Enforcement of transport safety</v>
      </c>
      <c r="H48" s="85">
        <v>1</v>
      </c>
      <c r="I48" s="85">
        <v>1</v>
      </c>
      <c r="J48" s="85">
        <v>1</v>
      </c>
      <c r="K48" s="85">
        <v>1</v>
      </c>
      <c r="L48" s="85">
        <v>1</v>
      </c>
      <c r="M48" s="85">
        <v>1</v>
      </c>
      <c r="N48" s="85">
        <v>1</v>
      </c>
      <c r="O48" s="85">
        <v>1</v>
      </c>
      <c r="P48" s="85">
        <v>1</v>
      </c>
      <c r="Q48" s="85">
        <v>1</v>
      </c>
    </row>
    <row r="49" spans="3:17">
      <c r="C49" s="85" t="str">
        <f>tblIndiSets!A46</f>
        <v>INFSAF_IP_02</v>
      </c>
      <c r="D49" s="85">
        <f>tblIndiSets!B46</f>
        <v>31</v>
      </c>
      <c r="E49" s="85" t="str">
        <f ca="1" t="shared" si="6"/>
        <v>3.1.2</v>
      </c>
      <c r="F49" s="85" t="str">
        <f>tblIndiSets!C46</f>
        <v>3.1.2) Pedestrian friendliness</v>
      </c>
      <c r="G49" s="85" t="str">
        <f ca="1" t="shared" si="7"/>
        <v>3.1.2) Pedestrian friendliness</v>
      </c>
      <c r="H49" s="85">
        <v>1</v>
      </c>
      <c r="I49" s="85">
        <v>1</v>
      </c>
      <c r="J49" s="85">
        <v>1</v>
      </c>
      <c r="K49" s="85">
        <v>1</v>
      </c>
      <c r="L49" s="85">
        <v>1</v>
      </c>
      <c r="M49" s="85">
        <v>1</v>
      </c>
      <c r="N49" s="85">
        <v>1</v>
      </c>
      <c r="O49" s="85">
        <v>1</v>
      </c>
      <c r="P49" s="85">
        <v>1</v>
      </c>
      <c r="Q49" s="85">
        <v>1</v>
      </c>
    </row>
    <row r="50" spans="3:17">
      <c r="C50" s="85" t="str">
        <f>tblIndiSets!A47</f>
        <v>INFSAF_IP_03</v>
      </c>
      <c r="D50" s="85">
        <f>tblIndiSets!B47</f>
        <v>32</v>
      </c>
      <c r="E50" s="85" t="str">
        <f ca="1" t="shared" si="6"/>
        <v>3.1.3</v>
      </c>
      <c r="F50" s="85" t="str">
        <f>tblIndiSets!C47</f>
        <v>3.1.3) Quality of road infrastructure</v>
      </c>
      <c r="G50" s="85" t="str">
        <f ca="1" t="shared" si="7"/>
        <v>3.1.3) Quality of road infrastructure</v>
      </c>
      <c r="H50" s="85">
        <v>1</v>
      </c>
      <c r="I50" s="85">
        <v>1</v>
      </c>
      <c r="J50" s="85">
        <v>1</v>
      </c>
      <c r="K50" s="85">
        <v>1</v>
      </c>
      <c r="L50" s="85">
        <v>1</v>
      </c>
      <c r="M50" s="85">
        <v>1</v>
      </c>
      <c r="N50" s="85">
        <v>1</v>
      </c>
      <c r="O50" s="85">
        <v>1</v>
      </c>
      <c r="P50" s="85">
        <v>1</v>
      </c>
      <c r="Q50" s="85">
        <v>1</v>
      </c>
    </row>
    <row r="51" spans="3:17">
      <c r="C51" s="85" t="str">
        <f>tblIndiSets!A48</f>
        <v>INFSAF_IP_04</v>
      </c>
      <c r="D51" s="85">
        <f>tblIndiSets!B48</f>
        <v>33</v>
      </c>
      <c r="E51" s="85" t="str">
        <f ca="1" t="shared" si="6"/>
        <v>3.1.4</v>
      </c>
      <c r="F51" s="85" t="str">
        <f>tblIndiSets!C48</f>
        <v>3.1.4) Quality of electricity infrastructure</v>
      </c>
      <c r="G51" s="85" t="str">
        <f ca="1" t="shared" si="7"/>
        <v>3.1.4) Quality of electricity infrastructure</v>
      </c>
      <c r="H51" s="85">
        <v>1</v>
      </c>
      <c r="I51" s="85">
        <v>1</v>
      </c>
      <c r="J51" s="85">
        <v>1</v>
      </c>
      <c r="K51" s="85">
        <v>1</v>
      </c>
      <c r="L51" s="85">
        <v>1</v>
      </c>
      <c r="M51" s="85">
        <v>1</v>
      </c>
      <c r="N51" s="85">
        <v>1</v>
      </c>
      <c r="O51" s="85">
        <v>1</v>
      </c>
      <c r="P51" s="85">
        <v>1</v>
      </c>
      <c r="Q51" s="85">
        <v>1</v>
      </c>
    </row>
    <row r="52" spans="3:17">
      <c r="C52" s="85" t="str">
        <f>tblIndiSets!A49</f>
        <v>INFSAF_IP_05</v>
      </c>
      <c r="D52" s="85">
        <f>tblIndiSets!B49</f>
        <v>34</v>
      </c>
      <c r="E52" s="85" t="str">
        <f ca="1" t="shared" si="6"/>
        <v>3.1.5</v>
      </c>
      <c r="F52" s="85" t="str">
        <f>tblIndiSets!C49</f>
        <v>3.1.5) Disaster Management/Business Continuity Plan</v>
      </c>
      <c r="G52" s="85" t="str">
        <f ca="1" t="shared" si="7"/>
        <v>3.1.5) Disaster Management/Business Continuity Plan</v>
      </c>
      <c r="H52" s="85">
        <v>1</v>
      </c>
      <c r="I52" s="85">
        <v>1</v>
      </c>
      <c r="J52" s="85">
        <v>1</v>
      </c>
      <c r="K52" s="85">
        <v>1</v>
      </c>
      <c r="L52" s="85">
        <v>1</v>
      </c>
      <c r="M52" s="85">
        <v>1</v>
      </c>
      <c r="N52" s="85">
        <v>1</v>
      </c>
      <c r="O52" s="85">
        <v>1</v>
      </c>
      <c r="P52" s="85">
        <v>1</v>
      </c>
      <c r="Q52" s="85">
        <v>1</v>
      </c>
    </row>
    <row r="53" spans="3:7">
      <c r="C53" s="85" t="str">
        <f>tblIndiSets!A50</f>
        <v>INFSAF_OP</v>
      </c>
      <c r="D53" s="85">
        <f>tblIndiSets!B50</f>
        <v>35</v>
      </c>
      <c r="E53" s="85" t="str">
        <f ca="1" t="shared" si="6"/>
        <v>3.2</v>
      </c>
      <c r="F53" s="85" t="str">
        <f>tblIndiSets!C50</f>
        <v>3.2) Infrastructure Safety (Outputs)</v>
      </c>
      <c r="G53" s="85" t="str">
        <f ca="1" t="shared" si="7"/>
        <v>3.2) Infrastructure Safety (Outputs)</v>
      </c>
    </row>
    <row r="54" spans="3:17">
      <c r="C54" s="85" t="str">
        <f>tblIndiSets!A51</f>
        <v>INFSAF_OP_01</v>
      </c>
      <c r="D54" s="85">
        <f>tblIndiSets!B51</f>
        <v>36</v>
      </c>
      <c r="E54" s="85" t="str">
        <f ca="1" t="shared" si="6"/>
        <v>3.2.1</v>
      </c>
      <c r="F54" s="85" t="str">
        <f>tblIndiSets!C51</f>
        <v>3.2.1) Death from natural disasters</v>
      </c>
      <c r="G54" s="85" t="str">
        <f ca="1" t="shared" si="7"/>
        <v>3.2.1) Death from natural disasters</v>
      </c>
      <c r="H54" s="85">
        <v>1</v>
      </c>
      <c r="I54" s="85">
        <v>1</v>
      </c>
      <c r="J54" s="85">
        <v>1</v>
      </c>
      <c r="K54" s="85">
        <v>1</v>
      </c>
      <c r="L54" s="85">
        <v>1</v>
      </c>
      <c r="M54" s="85">
        <v>1</v>
      </c>
      <c r="N54" s="85">
        <v>1</v>
      </c>
      <c r="O54" s="85">
        <v>1</v>
      </c>
      <c r="P54" s="85">
        <v>1</v>
      </c>
      <c r="Q54" s="85">
        <v>1</v>
      </c>
    </row>
    <row r="55" spans="3:17">
      <c r="C55" s="85" t="str">
        <f>tblIndiSets!A52</f>
        <v>INFSAF_OP_02</v>
      </c>
      <c r="D55" s="85">
        <f>tblIndiSets!B52</f>
        <v>37</v>
      </c>
      <c r="E55" s="85" t="str">
        <f ca="1" t="shared" si="6"/>
        <v>3.2.2</v>
      </c>
      <c r="F55" s="85" t="str">
        <f>tblIndiSets!C52</f>
        <v>3.2.2) Frequency of vehicular accidents</v>
      </c>
      <c r="G55" s="85" t="str">
        <f ca="1" t="shared" si="7"/>
        <v>3.2.2) Frequency of vehicular accidents</v>
      </c>
      <c r="H55" s="85">
        <v>1</v>
      </c>
      <c r="I55" s="85">
        <v>1</v>
      </c>
      <c r="J55" s="85">
        <v>1</v>
      </c>
      <c r="K55" s="85">
        <v>1</v>
      </c>
      <c r="L55" s="85">
        <v>1</v>
      </c>
      <c r="M55" s="85">
        <v>1</v>
      </c>
      <c r="N55" s="85">
        <v>1</v>
      </c>
      <c r="O55" s="85">
        <v>1</v>
      </c>
      <c r="P55" s="85">
        <v>1</v>
      </c>
      <c r="Q55" s="85">
        <v>1</v>
      </c>
    </row>
    <row r="56" spans="3:17">
      <c r="C56" s="85" t="str">
        <f>tblIndiSets!A53</f>
        <v>INFSAF_OP_03</v>
      </c>
      <c r="D56" s="85">
        <f>tblIndiSets!B53</f>
        <v>38</v>
      </c>
      <c r="E56" s="85" t="str">
        <f ca="1" t="shared" si="6"/>
        <v>3.2.3</v>
      </c>
      <c r="F56" s="85" t="str">
        <f>tblIndiSets!C53</f>
        <v>3.2.3) Frequency of pedestrian deaths</v>
      </c>
      <c r="G56" s="85" t="str">
        <f ca="1" t="shared" si="7"/>
        <v>3.2.3) Frequency of pedestrian deaths</v>
      </c>
      <c r="H56" s="85">
        <v>1</v>
      </c>
      <c r="I56" s="85">
        <v>1</v>
      </c>
      <c r="J56" s="85">
        <v>1</v>
      </c>
      <c r="K56" s="85">
        <v>1</v>
      </c>
      <c r="L56" s="85">
        <v>1</v>
      </c>
      <c r="M56" s="85">
        <v>1</v>
      </c>
      <c r="N56" s="85">
        <v>1</v>
      </c>
      <c r="O56" s="85">
        <v>1</v>
      </c>
      <c r="P56" s="85">
        <v>1</v>
      </c>
      <c r="Q56" s="85">
        <v>1</v>
      </c>
    </row>
    <row r="57" spans="3:17">
      <c r="C57" s="85" t="str">
        <f>tblIndiSets!A54</f>
        <v>INFSAF_OP_04</v>
      </c>
      <c r="D57" s="85">
        <f>tblIndiSets!B54</f>
        <v>39</v>
      </c>
      <c r="E57" s="85" t="str">
        <f ca="1" t="shared" si="6"/>
        <v>3.2.4</v>
      </c>
      <c r="F57" s="85" t="str">
        <f>tblIndiSets!C54</f>
        <v>3.2.4) Percent living in urban slums</v>
      </c>
      <c r="G57" s="85" t="str">
        <f ca="1" t="shared" si="7"/>
        <v>3.2.4) Percent living in urban slums</v>
      </c>
      <c r="H57" s="85">
        <v>1</v>
      </c>
      <c r="I57" s="85">
        <v>1</v>
      </c>
      <c r="J57" s="85">
        <v>1</v>
      </c>
      <c r="K57" s="85">
        <v>1</v>
      </c>
      <c r="L57" s="85">
        <v>1</v>
      </c>
      <c r="M57" s="85">
        <v>1</v>
      </c>
      <c r="N57" s="85">
        <v>1</v>
      </c>
      <c r="O57" s="85">
        <v>1</v>
      </c>
      <c r="P57" s="85">
        <v>1</v>
      </c>
      <c r="Q57" s="85">
        <v>1</v>
      </c>
    </row>
    <row r="58" spans="3:7">
      <c r="C58" s="85" t="str">
        <f>tblIndiSets!A55</f>
        <v>PERSAF_IP</v>
      </c>
      <c r="D58" s="85">
        <f>tblIndiSets!B55</f>
        <v>41</v>
      </c>
      <c r="E58" s="85" t="str">
        <f ca="1" t="shared" si="6"/>
        <v>4.1</v>
      </c>
      <c r="F58" s="85" t="str">
        <f>tblIndiSets!C55</f>
        <v>4.1) Personal Safety (Inputs)</v>
      </c>
      <c r="G58" s="85" t="str">
        <f ca="1" t="shared" si="7"/>
        <v>4.1) Personal Safety (Inputs)</v>
      </c>
    </row>
    <row r="59" spans="3:17">
      <c r="C59" s="85" t="str">
        <f>tblIndiSets!A56</f>
        <v>PERSAF_IP_01</v>
      </c>
      <c r="D59" s="85">
        <f>tblIndiSets!B56</f>
        <v>42</v>
      </c>
      <c r="E59" s="85" t="str">
        <f ca="1" t="shared" si="6"/>
        <v>4.1.1</v>
      </c>
      <c r="F59" s="85" t="str">
        <f>tblIndiSets!C56</f>
        <v>4.1.1) Level of police engagement</v>
      </c>
      <c r="G59" s="85" t="str">
        <f ca="1" t="shared" si="7"/>
        <v>4.1.1) Level of police engagement</v>
      </c>
      <c r="H59" s="85">
        <v>1</v>
      </c>
      <c r="I59" s="85">
        <v>1</v>
      </c>
      <c r="J59" s="85">
        <v>1</v>
      </c>
      <c r="K59" s="85">
        <v>1</v>
      </c>
      <c r="L59" s="85">
        <v>1</v>
      </c>
      <c r="M59" s="85">
        <v>1</v>
      </c>
      <c r="N59" s="85">
        <v>1</v>
      </c>
      <c r="O59" s="85">
        <v>1</v>
      </c>
      <c r="P59" s="85">
        <v>1</v>
      </c>
      <c r="Q59" s="85">
        <v>1</v>
      </c>
    </row>
    <row r="60" spans="3:17">
      <c r="C60" s="85" t="str">
        <f>tblIndiSets!A57</f>
        <v>PERSAF_IP_02</v>
      </c>
      <c r="D60" s="85">
        <f>tblIndiSets!B57</f>
        <v>43</v>
      </c>
      <c r="E60" s="85" t="str">
        <f ca="1" t="shared" si="6"/>
        <v>4.1.2</v>
      </c>
      <c r="F60" s="85" t="str">
        <f>tblIndiSets!C57</f>
        <v>4.1.2) Community-based patrolling</v>
      </c>
      <c r="G60" s="85" t="str">
        <f ca="1" t="shared" si="7"/>
        <v>4.1.2) Community-based patrolling</v>
      </c>
      <c r="H60" s="85">
        <v>1</v>
      </c>
      <c r="I60" s="85">
        <v>1</v>
      </c>
      <c r="J60" s="85">
        <v>1</v>
      </c>
      <c r="K60" s="85">
        <v>1</v>
      </c>
      <c r="L60" s="85">
        <v>1</v>
      </c>
      <c r="M60" s="85">
        <v>1</v>
      </c>
      <c r="N60" s="85">
        <v>1</v>
      </c>
      <c r="O60" s="85">
        <v>1</v>
      </c>
      <c r="P60" s="85">
        <v>1</v>
      </c>
      <c r="Q60" s="85">
        <v>1</v>
      </c>
    </row>
    <row r="61" spans="3:17">
      <c r="C61" s="85" t="str">
        <f>tblIndiSets!A58</f>
        <v>PERSAF_IP_03</v>
      </c>
      <c r="D61" s="85">
        <f>tblIndiSets!B58</f>
        <v>44</v>
      </c>
      <c r="E61" s="85" t="str">
        <f ca="1" t="shared" si="6"/>
        <v>4.1.3</v>
      </c>
      <c r="F61" s="85" t="str">
        <f>tblIndiSets!C58</f>
        <v>4.1.3) Availability of street-level crime data</v>
      </c>
      <c r="G61" s="85" t="str">
        <f ca="1" t="shared" si="7"/>
        <v>4.1.3) Availability of street-level crime data</v>
      </c>
      <c r="H61" s="85">
        <v>1</v>
      </c>
      <c r="I61" s="85">
        <v>1</v>
      </c>
      <c r="J61" s="85">
        <v>1</v>
      </c>
      <c r="K61" s="85">
        <v>1</v>
      </c>
      <c r="L61" s="85">
        <v>1</v>
      </c>
      <c r="M61" s="85">
        <v>1</v>
      </c>
      <c r="N61" s="85">
        <v>1</v>
      </c>
      <c r="O61" s="85">
        <v>1</v>
      </c>
      <c r="P61" s="85">
        <v>1</v>
      </c>
      <c r="Q61" s="85">
        <v>1</v>
      </c>
    </row>
    <row r="62" spans="3:17">
      <c r="C62" s="85" t="str">
        <f>tblIndiSets!A59</f>
        <v>PERSAF_IP_04</v>
      </c>
      <c r="D62" s="85">
        <f>tblIndiSets!B59</f>
        <v>45</v>
      </c>
      <c r="E62" s="85" t="str">
        <f ca="1" t="shared" si="6"/>
        <v>4.1.4</v>
      </c>
      <c r="F62" s="85" t="str">
        <f>tblIndiSets!C59</f>
        <v>4.1.4) Use of data-driven techniques for crime</v>
      </c>
      <c r="G62" s="85" t="str">
        <f ca="1" t="shared" si="7"/>
        <v>4.1.4) Use of data-driven techniques for crime</v>
      </c>
      <c r="H62" s="85">
        <v>1</v>
      </c>
      <c r="I62" s="85">
        <v>1</v>
      </c>
      <c r="J62" s="85">
        <v>1</v>
      </c>
      <c r="K62" s="85">
        <v>1</v>
      </c>
      <c r="L62" s="85">
        <v>1</v>
      </c>
      <c r="M62" s="85">
        <v>1</v>
      </c>
      <c r="N62" s="85">
        <v>1</v>
      </c>
      <c r="O62" s="85">
        <v>1</v>
      </c>
      <c r="P62" s="85">
        <v>1</v>
      </c>
      <c r="Q62" s="85">
        <v>1</v>
      </c>
    </row>
    <row r="63" spans="3:17">
      <c r="C63" s="85" t="str">
        <f>tblIndiSets!A60</f>
        <v>PERSAF_IP_05</v>
      </c>
      <c r="D63" s="85">
        <f>tblIndiSets!B60</f>
        <v>46</v>
      </c>
      <c r="E63" s="85" t="str">
        <f ca="1" t="shared" si="6"/>
        <v>4.1.5</v>
      </c>
      <c r="F63" s="85" t="str">
        <f>tblIndiSets!C60</f>
        <v>4.1.5) Private security measures</v>
      </c>
      <c r="G63" s="85" t="str">
        <f ca="1" t="shared" si="7"/>
        <v>4.1.5) Private security measures</v>
      </c>
      <c r="H63" s="85">
        <v>1</v>
      </c>
      <c r="I63" s="85">
        <v>1</v>
      </c>
      <c r="J63" s="85">
        <v>1</v>
      </c>
      <c r="K63" s="85">
        <v>1</v>
      </c>
      <c r="L63" s="85">
        <v>1</v>
      </c>
      <c r="M63" s="85">
        <v>1</v>
      </c>
      <c r="N63" s="85">
        <v>1</v>
      </c>
      <c r="O63" s="85">
        <v>1</v>
      </c>
      <c r="P63" s="85">
        <v>1</v>
      </c>
      <c r="Q63" s="85">
        <v>1</v>
      </c>
    </row>
    <row r="64" spans="3:17">
      <c r="C64" s="85" t="str">
        <f>tblIndiSets!A61</f>
        <v>PERSAF_IP_06</v>
      </c>
      <c r="D64" s="85">
        <f>tblIndiSets!B61</f>
        <v>47</v>
      </c>
      <c r="E64" s="85" t="str">
        <f ca="1" t="shared" si="6"/>
        <v>4.1.6</v>
      </c>
      <c r="F64" s="85" t="str">
        <f>tblIndiSets!C61</f>
        <v>4.1.6) Gun regulation and enforcement</v>
      </c>
      <c r="G64" s="85" t="str">
        <f ca="1" t="shared" si="7"/>
        <v>4.1.6) Gun regulation and enforcement</v>
      </c>
      <c r="H64" s="85">
        <v>1</v>
      </c>
      <c r="I64" s="85">
        <v>1</v>
      </c>
      <c r="J64" s="85">
        <v>1</v>
      </c>
      <c r="K64" s="85">
        <v>1</v>
      </c>
      <c r="L64" s="85">
        <v>1</v>
      </c>
      <c r="M64" s="85">
        <v>1</v>
      </c>
      <c r="N64" s="85">
        <v>1</v>
      </c>
      <c r="O64" s="85">
        <v>1</v>
      </c>
      <c r="P64" s="85">
        <v>1</v>
      </c>
      <c r="Q64" s="85">
        <v>1</v>
      </c>
    </row>
    <row r="65" spans="3:17">
      <c r="C65" s="85" t="str">
        <f>tblIndiSets!A62</f>
        <v>PERSAF_IP_07</v>
      </c>
      <c r="D65" s="85">
        <f>tblIndiSets!B62</f>
        <v>48</v>
      </c>
      <c r="E65" s="85" t="str">
        <f ca="1" t="shared" si="6"/>
        <v>4.1.7</v>
      </c>
      <c r="F65" s="85" t="str">
        <f>tblIndiSets!C62</f>
        <v>4.1.7) Political Stability Risk</v>
      </c>
      <c r="G65" s="85" t="str">
        <f ca="1" t="shared" si="7"/>
        <v>4.1.7) Political Stability Risk</v>
      </c>
      <c r="H65" s="85">
        <v>1</v>
      </c>
      <c r="I65" s="85">
        <v>1</v>
      </c>
      <c r="J65" s="85">
        <v>1</v>
      </c>
      <c r="K65" s="85">
        <v>1</v>
      </c>
      <c r="L65" s="85">
        <v>1</v>
      </c>
      <c r="M65" s="85">
        <v>1</v>
      </c>
      <c r="N65" s="85">
        <v>1</v>
      </c>
      <c r="O65" s="85">
        <v>1</v>
      </c>
      <c r="P65" s="85">
        <v>1</v>
      </c>
      <c r="Q65" s="85">
        <v>1</v>
      </c>
    </row>
    <row r="66" spans="3:7">
      <c r="C66" s="85" t="str">
        <f>tblIndiSets!A63</f>
        <v>PERSAF_OP</v>
      </c>
      <c r="D66" s="85">
        <f>tblIndiSets!B63</f>
        <v>49</v>
      </c>
      <c r="E66" s="85" t="str">
        <f ca="1" t="shared" si="6"/>
        <v>4.2</v>
      </c>
      <c r="F66" s="85" t="str">
        <f>tblIndiSets!C63</f>
        <v>4.2) Personal Safety (Outputs)</v>
      </c>
      <c r="G66" s="85" t="str">
        <f ca="1" t="shared" si="7"/>
        <v>4.2) Personal Safety (Outputs)</v>
      </c>
    </row>
    <row r="67" spans="3:17">
      <c r="C67" s="85" t="str">
        <f>tblIndiSets!A64</f>
        <v>PERSAF_OP_01</v>
      </c>
      <c r="D67" s="85">
        <f>tblIndiSets!B64</f>
        <v>50</v>
      </c>
      <c r="E67" s="85" t="str">
        <f ca="1" t="shared" si="6"/>
        <v>4.2.1</v>
      </c>
      <c r="F67" s="85" t="str">
        <f>tblIndiSets!C64</f>
        <v>4.2.1) Prevalence of petty crime</v>
      </c>
      <c r="G67" s="85" t="str">
        <f ca="1" t="shared" si="7"/>
        <v>4.2.1) Prevalence of petty crime</v>
      </c>
      <c r="H67" s="85">
        <v>1</v>
      </c>
      <c r="I67" s="85">
        <v>1</v>
      </c>
      <c r="J67" s="85">
        <v>1</v>
      </c>
      <c r="K67" s="85">
        <v>1</v>
      </c>
      <c r="L67" s="85">
        <v>1</v>
      </c>
      <c r="M67" s="85">
        <v>1</v>
      </c>
      <c r="N67" s="85">
        <v>1</v>
      </c>
      <c r="O67" s="85">
        <v>1</v>
      </c>
      <c r="P67" s="85">
        <v>1</v>
      </c>
      <c r="Q67" s="85">
        <v>1</v>
      </c>
    </row>
    <row r="68" spans="3:17">
      <c r="C68" s="85" t="str">
        <f>tblIndiSets!A65</f>
        <v>PERSAF_OP_02</v>
      </c>
      <c r="D68" s="85">
        <f>tblIndiSets!B65</f>
        <v>51</v>
      </c>
      <c r="E68" s="85" t="str">
        <f ca="1" t="shared" si="6"/>
        <v>4.2.2</v>
      </c>
      <c r="F68" s="85" t="str">
        <f>tblIndiSets!C65</f>
        <v>4.2.2) Prevalence of violence crime</v>
      </c>
      <c r="G68" s="85" t="str">
        <f ca="1" t="shared" si="7"/>
        <v>4.2.2) Prevalence of violence crime</v>
      </c>
      <c r="H68" s="85">
        <v>1</v>
      </c>
      <c r="I68" s="85">
        <v>1</v>
      </c>
      <c r="J68" s="85">
        <v>1</v>
      </c>
      <c r="K68" s="85">
        <v>1</v>
      </c>
      <c r="L68" s="85">
        <v>1</v>
      </c>
      <c r="M68" s="85">
        <v>1</v>
      </c>
      <c r="N68" s="85">
        <v>1</v>
      </c>
      <c r="O68" s="85">
        <v>1</v>
      </c>
      <c r="P68" s="85">
        <v>1</v>
      </c>
      <c r="Q68" s="85">
        <v>1</v>
      </c>
    </row>
    <row r="69" spans="3:17">
      <c r="C69" s="85" t="str">
        <f>tblIndiSets!A66</f>
        <v>PERSAF_OP_03</v>
      </c>
      <c r="D69" s="85">
        <f>tblIndiSets!B66</f>
        <v>52</v>
      </c>
      <c r="E69" s="85" t="str">
        <f ca="1" t="shared" si="6"/>
        <v>4.2.3</v>
      </c>
      <c r="F69" s="85" t="str">
        <f>tblIndiSets!C66</f>
        <v>4.2.3) Criminal gang activity</v>
      </c>
      <c r="G69" s="85" t="str">
        <f ca="1" t="shared" si="7"/>
        <v>4.2.3) Criminal gang activity</v>
      </c>
      <c r="H69" s="85">
        <v>1</v>
      </c>
      <c r="I69" s="85">
        <v>1</v>
      </c>
      <c r="J69" s="85">
        <v>1</v>
      </c>
      <c r="K69" s="85">
        <v>1</v>
      </c>
      <c r="L69" s="85">
        <v>1</v>
      </c>
      <c r="M69" s="85">
        <v>1</v>
      </c>
      <c r="N69" s="85">
        <v>1</v>
      </c>
      <c r="O69" s="85">
        <v>1</v>
      </c>
      <c r="P69" s="85">
        <v>1</v>
      </c>
      <c r="Q69" s="85">
        <v>1</v>
      </c>
    </row>
    <row r="70" spans="3:17">
      <c r="C70" s="85" t="str">
        <f>tblIndiSets!A67</f>
        <v>PERSAF_OP_04</v>
      </c>
      <c r="D70" s="85">
        <f>tblIndiSets!B67</f>
        <v>53</v>
      </c>
      <c r="E70" s="85" t="str">
        <f ca="1" t="shared" si="6"/>
        <v>4.2.4</v>
      </c>
      <c r="F70" s="85" t="str">
        <f>tblIndiSets!C67</f>
        <v>4.2.4) Level of corruption in police force</v>
      </c>
      <c r="G70" s="85" t="str">
        <f ca="1" t="shared" si="7"/>
        <v>4.2.4) Level of corruption in police force</v>
      </c>
      <c r="H70" s="85">
        <v>1</v>
      </c>
      <c r="I70" s="85">
        <v>1</v>
      </c>
      <c r="J70" s="85">
        <v>1</v>
      </c>
      <c r="K70" s="85">
        <v>1</v>
      </c>
      <c r="L70" s="85">
        <v>1</v>
      </c>
      <c r="M70" s="85">
        <v>1</v>
      </c>
      <c r="N70" s="85">
        <v>1</v>
      </c>
      <c r="O70" s="85">
        <v>1</v>
      </c>
      <c r="P70" s="85">
        <v>1</v>
      </c>
      <c r="Q70" s="85">
        <v>1</v>
      </c>
    </row>
    <row r="71" spans="3:17">
      <c r="C71" s="85" t="str">
        <f>tblIndiSets!A68</f>
        <v>PERSAF_OP_05</v>
      </c>
      <c r="D71" s="85">
        <f>tblIndiSets!B68</f>
        <v>54</v>
      </c>
      <c r="E71" s="85" t="str">
        <f ca="1" t="shared" si="6"/>
        <v>4.2.5</v>
      </c>
      <c r="F71" s="85" t="str">
        <f>tblIndiSets!C68</f>
        <v>4.2.5) Rate of drug use</v>
      </c>
      <c r="G71" s="85" t="str">
        <f ca="1" t="shared" si="7"/>
        <v>4.2.5) Rate of drug use</v>
      </c>
      <c r="H71" s="85">
        <v>1</v>
      </c>
      <c r="I71" s="85">
        <v>1</v>
      </c>
      <c r="J71" s="85">
        <v>1</v>
      </c>
      <c r="K71" s="85">
        <v>1</v>
      </c>
      <c r="L71" s="85">
        <v>1</v>
      </c>
      <c r="M71" s="85">
        <v>1</v>
      </c>
      <c r="N71" s="85">
        <v>1</v>
      </c>
      <c r="O71" s="85">
        <v>1</v>
      </c>
      <c r="P71" s="85">
        <v>1</v>
      </c>
      <c r="Q71" s="85">
        <v>1</v>
      </c>
    </row>
    <row r="72" spans="3:17">
      <c r="C72" s="85" t="str">
        <f>tblIndiSets!A69</f>
        <v>PERSAF_OP_07</v>
      </c>
      <c r="D72" s="85">
        <f>tblIndiSets!B69</f>
        <v>55</v>
      </c>
      <c r="E72" s="85" t="str">
        <f ca="1" t="shared" si="6"/>
        <v>4.2.6</v>
      </c>
      <c r="F72" s="85" t="str">
        <f>tblIndiSets!C69</f>
        <v>4.2.6) Frequency of terrorist attacks</v>
      </c>
      <c r="G72" s="85" t="str">
        <f ca="1" t="shared" si="7"/>
        <v>4.2.6) Frequency of terrorist attacks</v>
      </c>
      <c r="H72" s="85">
        <v>1</v>
      </c>
      <c r="I72" s="85">
        <v>1</v>
      </c>
      <c r="J72" s="85">
        <v>1</v>
      </c>
      <c r="K72" s="85">
        <v>1</v>
      </c>
      <c r="L72" s="85">
        <v>1</v>
      </c>
      <c r="M72" s="85">
        <v>1</v>
      </c>
      <c r="N72" s="85">
        <v>1</v>
      </c>
      <c r="O72" s="85">
        <v>1</v>
      </c>
      <c r="P72" s="85">
        <v>1</v>
      </c>
      <c r="Q72" s="85">
        <v>1</v>
      </c>
    </row>
    <row r="73" spans="3:17">
      <c r="C73" s="85" t="str">
        <f>tblIndiSets!A70</f>
        <v>PERSAF_OP_08</v>
      </c>
      <c r="D73" s="85">
        <f>tblIndiSets!B70</f>
        <v>56</v>
      </c>
      <c r="E73" s="85" t="str">
        <f ca="1" t="shared" si="6"/>
        <v>4.2.7</v>
      </c>
      <c r="F73" s="85" t="str">
        <f>tblIndiSets!C70</f>
        <v>4.2.7) Gender safety</v>
      </c>
      <c r="G73" s="85" t="str">
        <f ca="1" t="shared" si="7"/>
        <v>4.2.7) Gender safety</v>
      </c>
      <c r="H73" s="85">
        <v>1</v>
      </c>
      <c r="I73" s="85">
        <v>1</v>
      </c>
      <c r="J73" s="85">
        <v>1</v>
      </c>
      <c r="K73" s="85">
        <v>1</v>
      </c>
      <c r="L73" s="85">
        <v>1</v>
      </c>
      <c r="M73" s="85">
        <v>1</v>
      </c>
      <c r="N73" s="85">
        <v>1</v>
      </c>
      <c r="O73" s="85">
        <v>1</v>
      </c>
      <c r="P73" s="85">
        <v>1</v>
      </c>
      <c r="Q73" s="85">
        <v>1</v>
      </c>
    </row>
    <row r="74" spans="3:17">
      <c r="C74" s="85" t="str">
        <f>tblIndiSets!A71</f>
        <v>PERSAF_OP_09</v>
      </c>
      <c r="D74" s="85">
        <f>tblIndiSets!B71</f>
        <v>57</v>
      </c>
      <c r="E74" s="85" t="str">
        <f ca="1" t="shared" si="6"/>
        <v>4.2.8</v>
      </c>
      <c r="F74" s="85" t="str">
        <f>tblIndiSets!C71</f>
        <v>4.2.8) Perceptions of safety</v>
      </c>
      <c r="G74" s="85" t="str">
        <f ca="1" t="shared" si="7"/>
        <v>4.2.8) Perceptions of safety</v>
      </c>
      <c r="H74" s="85">
        <v>1</v>
      </c>
      <c r="I74" s="85">
        <v>1</v>
      </c>
      <c r="J74" s="85">
        <v>1</v>
      </c>
      <c r="K74" s="85">
        <v>1</v>
      </c>
      <c r="L74" s="85">
        <v>1</v>
      </c>
      <c r="M74" s="85">
        <v>1</v>
      </c>
      <c r="N74" s="85">
        <v>1</v>
      </c>
      <c r="O74" s="85">
        <v>1</v>
      </c>
      <c r="P74" s="85">
        <v>1</v>
      </c>
      <c r="Q74" s="85">
        <v>1</v>
      </c>
    </row>
  </sheetData>
  <sheetProtection selectLockedCells="1" selectUnlockedCells="1"/>
  <pageMargins left="0.7" right="0.7" top="0.75" bottom="0.75" header="0.3" footer="0.3"/>
  <pageSetup paperSize="9" orientation="portrait" horizontalDpi="1200" verticalDpi="12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FFC000"/>
  </sheetPr>
  <dimension ref="A1:N63"/>
  <sheetViews>
    <sheetView workbookViewId="0">
      <pane ySplit="1" topLeftCell="A2" activePane="bottomLeft" state="frozen"/>
      <selection/>
      <selection pane="bottomLeft" activeCell="I4" sqref="I4"/>
    </sheetView>
  </sheetViews>
  <sheetFormatPr defaultColWidth="9" defaultRowHeight="11.25"/>
  <cols>
    <col min="1" max="1" width="9.14285714285714" style="200"/>
    <col min="2" max="2" width="5.42857142857143" style="200" customWidth="1"/>
    <col min="3" max="3" width="13.5714285714286" style="200" customWidth="1"/>
    <col min="4" max="16384" width="9.14285714285714" style="200"/>
  </cols>
  <sheetData>
    <row r="1" spans="1:12">
      <c r="A1" s="201" t="s">
        <v>313</v>
      </c>
      <c r="B1" s="201" t="s">
        <v>314</v>
      </c>
      <c r="C1" s="201" t="s">
        <v>315</v>
      </c>
      <c r="D1" s="201" t="s">
        <v>316</v>
      </c>
      <c r="H1" s="200" t="s">
        <v>317</v>
      </c>
      <c r="I1" s="200" t="s">
        <v>318</v>
      </c>
      <c r="J1" s="200" t="s">
        <v>319</v>
      </c>
      <c r="K1" s="200" t="s">
        <v>320</v>
      </c>
      <c r="L1" s="200" t="s">
        <v>321</v>
      </c>
    </row>
    <row r="2" spans="1:14">
      <c r="A2" s="201">
        <v>0</v>
      </c>
      <c r="B2" s="201"/>
      <c r="C2" s="201" t="s">
        <v>317</v>
      </c>
      <c r="E2" s="202">
        <f>uxbWorks!$B$17-1</f>
        <v>38</v>
      </c>
      <c r="F2" s="200" t="s">
        <v>317</v>
      </c>
      <c r="N2" s="200" t="s">
        <v>322</v>
      </c>
    </row>
    <row r="3" ht="15.75" spans="1:12">
      <c r="A3" s="200">
        <v>1</v>
      </c>
      <c r="C3" s="203" t="s">
        <v>323</v>
      </c>
      <c r="D3" s="200">
        <f>IF($A3=$E$2,3,IF($A3=$E$4,4,IF(INDEX($H3:$L3,$E$3)=1,2,1)))</f>
        <v>2</v>
      </c>
      <c r="E3" s="202">
        <f>uxbWorks!$B$23</f>
        <v>1</v>
      </c>
      <c r="F3" s="200" t="s">
        <v>318</v>
      </c>
      <c r="H3" s="200">
        <v>1</v>
      </c>
      <c r="I3" s="200">
        <v>0</v>
      </c>
      <c r="J3" s="200">
        <v>0</v>
      </c>
      <c r="K3" s="200">
        <v>0</v>
      </c>
      <c r="L3" s="200">
        <v>1</v>
      </c>
    </row>
    <row r="4" ht="15" spans="1:14">
      <c r="A4" s="200">
        <v>2</v>
      </c>
      <c r="C4" t="s">
        <v>324</v>
      </c>
      <c r="D4" s="200">
        <f t="shared" ref="D4:D52" si="0">IF($A4=$E$2,3,IF($A4=$E$4,4,IF(INDEX($H4:$L4,$E$3)=1,2,1)))</f>
        <v>2</v>
      </c>
      <c r="E4" s="202">
        <f>uxbWorks!$B$24-1</f>
        <v>36</v>
      </c>
      <c r="F4" s="200" t="s">
        <v>319</v>
      </c>
      <c r="H4" s="200">
        <v>1</v>
      </c>
      <c r="I4" s="200">
        <v>0</v>
      </c>
      <c r="J4" s="200">
        <v>1</v>
      </c>
      <c r="K4" s="200">
        <v>0</v>
      </c>
      <c r="L4" s="200">
        <v>0</v>
      </c>
      <c r="N4" s="200" t="s">
        <v>325</v>
      </c>
    </row>
    <row r="5" ht="15" spans="1:12">
      <c r="A5" s="200">
        <v>3</v>
      </c>
      <c r="C5" t="s">
        <v>326</v>
      </c>
      <c r="D5" s="200">
        <f t="shared" si="0"/>
        <v>2</v>
      </c>
      <c r="E5" s="202"/>
      <c r="F5" s="200" t="s">
        <v>327</v>
      </c>
      <c r="H5" s="200">
        <v>1</v>
      </c>
      <c r="I5" s="200">
        <v>0</v>
      </c>
      <c r="J5" s="200">
        <v>1</v>
      </c>
      <c r="K5" s="200">
        <v>0</v>
      </c>
      <c r="L5" s="200">
        <v>0</v>
      </c>
    </row>
    <row r="6" ht="15" spans="1:12">
      <c r="A6" s="200">
        <v>4</v>
      </c>
      <c r="C6" t="s">
        <v>328</v>
      </c>
      <c r="D6" s="200">
        <f t="shared" si="0"/>
        <v>2</v>
      </c>
      <c r="F6" s="200" t="s">
        <v>329</v>
      </c>
      <c r="H6" s="200">
        <v>1</v>
      </c>
      <c r="I6" s="200">
        <v>0</v>
      </c>
      <c r="J6" s="200">
        <v>1</v>
      </c>
      <c r="K6" s="200">
        <v>0</v>
      </c>
      <c r="L6" s="200">
        <v>0</v>
      </c>
    </row>
    <row r="7" ht="15" spans="1:12">
      <c r="A7" s="200">
        <v>5</v>
      </c>
      <c r="C7" t="s">
        <v>330</v>
      </c>
      <c r="D7" s="200">
        <f t="shared" si="0"/>
        <v>2</v>
      </c>
      <c r="H7" s="200">
        <v>1</v>
      </c>
      <c r="I7" s="200">
        <v>0</v>
      </c>
      <c r="J7" s="200">
        <v>1</v>
      </c>
      <c r="K7" s="200">
        <v>0</v>
      </c>
      <c r="L7" s="200">
        <v>0</v>
      </c>
    </row>
    <row r="8" ht="15" spans="1:12">
      <c r="A8" s="200">
        <v>6</v>
      </c>
      <c r="C8" t="s">
        <v>331</v>
      </c>
      <c r="D8" s="200">
        <f t="shared" si="0"/>
        <v>2</v>
      </c>
      <c r="H8" s="200">
        <v>1</v>
      </c>
      <c r="I8" s="200">
        <v>0</v>
      </c>
      <c r="J8" s="200">
        <v>0</v>
      </c>
      <c r="K8" s="200">
        <v>0</v>
      </c>
      <c r="L8" s="200">
        <v>1</v>
      </c>
    </row>
    <row r="9" ht="15" spans="1:12">
      <c r="A9" s="200">
        <v>7</v>
      </c>
      <c r="C9" t="s">
        <v>332</v>
      </c>
      <c r="D9" s="200">
        <f t="shared" si="0"/>
        <v>2</v>
      </c>
      <c r="H9" s="200">
        <v>1</v>
      </c>
      <c r="I9" s="200">
        <v>0</v>
      </c>
      <c r="J9" s="200">
        <v>0</v>
      </c>
      <c r="K9" s="200">
        <v>0</v>
      </c>
      <c r="L9" s="200">
        <v>1</v>
      </c>
    </row>
    <row r="10" ht="15" spans="1:12">
      <c r="A10" s="200">
        <v>8</v>
      </c>
      <c r="C10" t="s">
        <v>333</v>
      </c>
      <c r="D10" s="200">
        <f t="shared" si="0"/>
        <v>2</v>
      </c>
      <c r="H10" s="200">
        <v>1</v>
      </c>
      <c r="I10" s="200">
        <v>0</v>
      </c>
      <c r="J10" s="200">
        <v>0</v>
      </c>
      <c r="K10" s="200">
        <v>1</v>
      </c>
      <c r="L10" s="200">
        <v>0</v>
      </c>
    </row>
    <row r="11" ht="15" spans="1:12">
      <c r="A11" s="200">
        <v>9</v>
      </c>
      <c r="C11" t="s">
        <v>334</v>
      </c>
      <c r="D11" s="200">
        <f t="shared" si="0"/>
        <v>2</v>
      </c>
      <c r="H11" s="200">
        <v>1</v>
      </c>
      <c r="I11" s="200">
        <v>0</v>
      </c>
      <c r="J11" s="200">
        <v>0</v>
      </c>
      <c r="K11" s="200">
        <v>1</v>
      </c>
      <c r="L11" s="200">
        <v>0</v>
      </c>
    </row>
    <row r="12" ht="15" spans="1:12">
      <c r="A12" s="200">
        <v>10</v>
      </c>
      <c r="C12" t="s">
        <v>335</v>
      </c>
      <c r="D12" s="200">
        <f t="shared" si="0"/>
        <v>2</v>
      </c>
      <c r="H12" s="200">
        <v>1</v>
      </c>
      <c r="I12" s="200">
        <v>0</v>
      </c>
      <c r="J12" s="200">
        <v>0</v>
      </c>
      <c r="K12" s="200">
        <v>0</v>
      </c>
      <c r="L12" s="200">
        <v>1</v>
      </c>
    </row>
    <row r="13" ht="15" spans="1:12">
      <c r="A13" s="200">
        <v>11</v>
      </c>
      <c r="C13" t="s">
        <v>336</v>
      </c>
      <c r="D13" s="200">
        <f t="shared" si="0"/>
        <v>2</v>
      </c>
      <c r="H13" s="200">
        <v>1</v>
      </c>
      <c r="I13" s="200">
        <v>0</v>
      </c>
      <c r="J13" s="200">
        <v>1</v>
      </c>
      <c r="K13" s="200">
        <v>0</v>
      </c>
      <c r="L13" s="200">
        <v>0</v>
      </c>
    </row>
    <row r="14" ht="15" spans="1:12">
      <c r="A14" s="200">
        <v>12</v>
      </c>
      <c r="C14" t="s">
        <v>337</v>
      </c>
      <c r="D14" s="200">
        <f t="shared" si="0"/>
        <v>2</v>
      </c>
      <c r="H14" s="200">
        <v>1</v>
      </c>
      <c r="I14" s="200">
        <v>0</v>
      </c>
      <c r="J14" s="200">
        <v>1</v>
      </c>
      <c r="K14" s="200">
        <v>0</v>
      </c>
      <c r="L14" s="200">
        <v>0</v>
      </c>
    </row>
    <row r="15" ht="15" spans="1:12">
      <c r="A15" s="200">
        <v>13</v>
      </c>
      <c r="C15" t="s">
        <v>338</v>
      </c>
      <c r="D15" s="200">
        <f t="shared" si="0"/>
        <v>2</v>
      </c>
      <c r="H15" s="200">
        <v>1</v>
      </c>
      <c r="I15" s="200">
        <v>0</v>
      </c>
      <c r="J15" s="200">
        <v>1</v>
      </c>
      <c r="K15" s="200">
        <v>0</v>
      </c>
      <c r="L15" s="200">
        <v>0</v>
      </c>
    </row>
    <row r="16" ht="15" spans="1:12">
      <c r="A16" s="200">
        <v>14</v>
      </c>
      <c r="C16" t="s">
        <v>339</v>
      </c>
      <c r="D16" s="200">
        <f t="shared" si="0"/>
        <v>2</v>
      </c>
      <c r="H16" s="200">
        <v>1</v>
      </c>
      <c r="I16" s="200">
        <v>0</v>
      </c>
      <c r="J16" s="200">
        <v>0</v>
      </c>
      <c r="K16" s="200">
        <v>0</v>
      </c>
      <c r="L16" s="200">
        <v>1</v>
      </c>
    </row>
    <row r="17" ht="15" spans="1:12">
      <c r="A17" s="200">
        <v>15</v>
      </c>
      <c r="C17" t="s">
        <v>340</v>
      </c>
      <c r="D17" s="200">
        <f t="shared" si="0"/>
        <v>2</v>
      </c>
      <c r="H17" s="200">
        <v>1</v>
      </c>
      <c r="I17" s="200">
        <v>0</v>
      </c>
      <c r="J17" s="200">
        <v>0</v>
      </c>
      <c r="K17" s="200">
        <v>0</v>
      </c>
      <c r="L17" s="200">
        <v>1</v>
      </c>
    </row>
    <row r="18" ht="15" spans="1:12">
      <c r="A18" s="200">
        <v>16</v>
      </c>
      <c r="C18" t="s">
        <v>341</v>
      </c>
      <c r="D18" s="200">
        <f t="shared" si="0"/>
        <v>2</v>
      </c>
      <c r="H18" s="200">
        <v>1</v>
      </c>
      <c r="I18" s="200">
        <v>0</v>
      </c>
      <c r="J18" s="200">
        <v>0</v>
      </c>
      <c r="K18" s="200">
        <v>1</v>
      </c>
      <c r="L18" s="200">
        <v>0</v>
      </c>
    </row>
    <row r="19" ht="15" spans="1:12">
      <c r="A19" s="200">
        <v>17</v>
      </c>
      <c r="C19" t="s">
        <v>342</v>
      </c>
      <c r="D19" s="200">
        <f t="shared" si="0"/>
        <v>2</v>
      </c>
      <c r="H19" s="200">
        <v>1</v>
      </c>
      <c r="I19" s="200">
        <v>0</v>
      </c>
      <c r="J19" s="200">
        <v>0</v>
      </c>
      <c r="K19" s="200">
        <v>1</v>
      </c>
      <c r="L19" s="200">
        <v>0</v>
      </c>
    </row>
    <row r="20" ht="15" spans="1:12">
      <c r="A20" s="200">
        <v>18</v>
      </c>
      <c r="C20" t="s">
        <v>343</v>
      </c>
      <c r="D20" s="200">
        <f t="shared" si="0"/>
        <v>2</v>
      </c>
      <c r="H20" s="200">
        <v>1</v>
      </c>
      <c r="I20" s="200">
        <v>0</v>
      </c>
      <c r="J20" s="200">
        <v>1</v>
      </c>
      <c r="K20" s="200">
        <v>0</v>
      </c>
      <c r="L20" s="200">
        <v>0</v>
      </c>
    </row>
    <row r="21" ht="15" spans="1:12">
      <c r="A21" s="200">
        <v>19</v>
      </c>
      <c r="C21" t="s">
        <v>344</v>
      </c>
      <c r="D21" s="200">
        <f t="shared" si="0"/>
        <v>2</v>
      </c>
      <c r="H21" s="200">
        <v>1</v>
      </c>
      <c r="I21" s="200">
        <v>0</v>
      </c>
      <c r="J21" s="200">
        <v>1</v>
      </c>
      <c r="K21" s="200">
        <v>0</v>
      </c>
      <c r="L21" s="200">
        <v>0</v>
      </c>
    </row>
    <row r="22" ht="15" spans="1:12">
      <c r="A22" s="200">
        <v>20</v>
      </c>
      <c r="C22" t="s">
        <v>345</v>
      </c>
      <c r="D22" s="200">
        <f t="shared" si="0"/>
        <v>2</v>
      </c>
      <c r="H22" s="200">
        <v>1</v>
      </c>
      <c r="I22" s="200">
        <v>0</v>
      </c>
      <c r="J22" s="200">
        <v>1</v>
      </c>
      <c r="K22" s="200">
        <v>0</v>
      </c>
      <c r="L22" s="200">
        <v>0</v>
      </c>
    </row>
    <row r="23" ht="15" spans="1:12">
      <c r="A23" s="200">
        <v>21</v>
      </c>
      <c r="C23" t="s">
        <v>346</v>
      </c>
      <c r="D23" s="200">
        <f t="shared" si="0"/>
        <v>2</v>
      </c>
      <c r="H23" s="200">
        <v>1</v>
      </c>
      <c r="I23" s="200">
        <v>0</v>
      </c>
      <c r="J23" s="200">
        <v>1</v>
      </c>
      <c r="K23" s="200">
        <v>0</v>
      </c>
      <c r="L23" s="200">
        <v>0</v>
      </c>
    </row>
    <row r="24" ht="15" spans="1:12">
      <c r="A24" s="200">
        <v>22</v>
      </c>
      <c r="C24" t="s">
        <v>347</v>
      </c>
      <c r="D24" s="200">
        <f t="shared" si="0"/>
        <v>2</v>
      </c>
      <c r="H24" s="200">
        <v>1</v>
      </c>
      <c r="I24" s="200">
        <v>0</v>
      </c>
      <c r="J24" s="200">
        <v>1</v>
      </c>
      <c r="K24" s="200">
        <v>0</v>
      </c>
      <c r="L24" s="200">
        <v>0</v>
      </c>
    </row>
    <row r="25" ht="15" spans="1:12">
      <c r="A25" s="200">
        <v>23</v>
      </c>
      <c r="C25" t="s">
        <v>348</v>
      </c>
      <c r="D25" s="200">
        <f t="shared" si="0"/>
        <v>2</v>
      </c>
      <c r="H25" s="200">
        <v>1</v>
      </c>
      <c r="I25" s="200">
        <v>0</v>
      </c>
      <c r="J25" s="200">
        <v>1</v>
      </c>
      <c r="K25" s="200">
        <v>0</v>
      </c>
      <c r="L25" s="200">
        <v>0</v>
      </c>
    </row>
    <row r="26" ht="15" spans="1:12">
      <c r="A26" s="200">
        <v>24</v>
      </c>
      <c r="C26" t="s">
        <v>349</v>
      </c>
      <c r="D26" s="200">
        <f t="shared" si="0"/>
        <v>2</v>
      </c>
      <c r="H26" s="200">
        <v>1</v>
      </c>
      <c r="I26" s="200">
        <v>1</v>
      </c>
      <c r="J26" s="200">
        <v>0</v>
      </c>
      <c r="K26" s="200">
        <v>0</v>
      </c>
      <c r="L26" s="200">
        <v>0</v>
      </c>
    </row>
    <row r="27" spans="1:12">
      <c r="A27" s="200">
        <v>25</v>
      </c>
      <c r="C27" s="24" t="s">
        <v>350</v>
      </c>
      <c r="D27" s="200">
        <f t="shared" si="0"/>
        <v>2</v>
      </c>
      <c r="H27" s="200">
        <v>1</v>
      </c>
      <c r="I27" s="200">
        <v>1</v>
      </c>
      <c r="J27" s="200">
        <v>0</v>
      </c>
      <c r="K27" s="200">
        <v>0</v>
      </c>
      <c r="L27" s="200">
        <v>0</v>
      </c>
    </row>
    <row r="28" spans="1:12">
      <c r="A28" s="200">
        <v>26</v>
      </c>
      <c r="C28" s="24" t="s">
        <v>351</v>
      </c>
      <c r="D28" s="200">
        <f t="shared" si="0"/>
        <v>2</v>
      </c>
      <c r="H28" s="200">
        <v>1</v>
      </c>
      <c r="I28" s="200">
        <v>1</v>
      </c>
      <c r="J28" s="200">
        <v>0</v>
      </c>
      <c r="K28" s="200">
        <v>0</v>
      </c>
      <c r="L28" s="200">
        <v>0</v>
      </c>
    </row>
    <row r="29" s="200" customFormat="1" spans="1:12">
      <c r="A29" s="200">
        <v>27</v>
      </c>
      <c r="C29" s="24" t="s">
        <v>352</v>
      </c>
      <c r="D29" s="200">
        <f t="shared" si="0"/>
        <v>2</v>
      </c>
      <c r="H29" s="200">
        <v>1</v>
      </c>
      <c r="I29" s="200">
        <v>0</v>
      </c>
      <c r="J29" s="200">
        <v>1</v>
      </c>
      <c r="K29" s="200">
        <v>0</v>
      </c>
      <c r="L29" s="200">
        <v>0</v>
      </c>
    </row>
    <row r="30" s="200" customFormat="1" spans="1:12">
      <c r="A30" s="200">
        <v>28</v>
      </c>
      <c r="C30" s="24" t="s">
        <v>353</v>
      </c>
      <c r="D30" s="200">
        <f t="shared" si="0"/>
        <v>2</v>
      </c>
      <c r="H30" s="200">
        <v>1</v>
      </c>
      <c r="I30" s="200">
        <v>0</v>
      </c>
      <c r="J30" s="200">
        <v>0</v>
      </c>
      <c r="K30" s="200">
        <v>1</v>
      </c>
      <c r="L30" s="200">
        <v>0</v>
      </c>
    </row>
    <row r="31" s="200" customFormat="1" spans="1:12">
      <c r="A31" s="200">
        <v>29</v>
      </c>
      <c r="C31" s="24" t="s">
        <v>354</v>
      </c>
      <c r="D31" s="200">
        <f t="shared" si="0"/>
        <v>2</v>
      </c>
      <c r="H31" s="200">
        <v>1</v>
      </c>
      <c r="I31" s="200">
        <v>0</v>
      </c>
      <c r="J31" s="200">
        <v>0</v>
      </c>
      <c r="K31" s="200">
        <v>1</v>
      </c>
      <c r="L31" s="200">
        <v>0</v>
      </c>
    </row>
    <row r="32" s="200" customFormat="1" spans="1:12">
      <c r="A32" s="200">
        <v>30</v>
      </c>
      <c r="C32" s="24" t="s">
        <v>355</v>
      </c>
      <c r="D32" s="200">
        <f t="shared" si="0"/>
        <v>2</v>
      </c>
      <c r="H32" s="200">
        <v>1</v>
      </c>
      <c r="I32" s="200">
        <v>0</v>
      </c>
      <c r="J32" s="200">
        <v>0</v>
      </c>
      <c r="K32" s="200">
        <v>0</v>
      </c>
      <c r="L32" s="200">
        <v>1</v>
      </c>
    </row>
    <row r="33" s="200" customFormat="1" spans="1:12">
      <c r="A33" s="200">
        <v>31</v>
      </c>
      <c r="C33" s="24" t="s">
        <v>356</v>
      </c>
      <c r="D33" s="200">
        <f t="shared" si="0"/>
        <v>2</v>
      </c>
      <c r="H33" s="200">
        <v>1</v>
      </c>
      <c r="I33" s="200">
        <v>0</v>
      </c>
      <c r="J33" s="200">
        <v>0</v>
      </c>
      <c r="K33" s="200">
        <v>1</v>
      </c>
      <c r="L33" s="200">
        <v>0</v>
      </c>
    </row>
    <row r="34" s="200" customFormat="1" spans="1:12">
      <c r="A34" s="200">
        <v>32</v>
      </c>
      <c r="C34" s="24" t="s">
        <v>357</v>
      </c>
      <c r="D34" s="200">
        <f t="shared" si="0"/>
        <v>2</v>
      </c>
      <c r="H34" s="200">
        <v>1</v>
      </c>
      <c r="I34" s="200">
        <v>0</v>
      </c>
      <c r="J34" s="200">
        <v>1</v>
      </c>
      <c r="K34" s="200">
        <v>0</v>
      </c>
      <c r="L34" s="200">
        <v>0</v>
      </c>
    </row>
    <row r="35" s="200" customFormat="1" spans="1:12">
      <c r="A35" s="200">
        <v>33</v>
      </c>
      <c r="C35" s="24" t="s">
        <v>358</v>
      </c>
      <c r="D35" s="200">
        <f t="shared" si="0"/>
        <v>2</v>
      </c>
      <c r="H35" s="200">
        <v>1</v>
      </c>
      <c r="I35" s="200">
        <v>0</v>
      </c>
      <c r="J35" s="200">
        <v>1</v>
      </c>
      <c r="K35" s="200">
        <v>0</v>
      </c>
      <c r="L35" s="200">
        <v>0</v>
      </c>
    </row>
    <row r="36" s="200" customFormat="1" spans="1:12">
      <c r="A36" s="200">
        <v>34</v>
      </c>
      <c r="C36" s="24" t="s">
        <v>359</v>
      </c>
      <c r="D36" s="200">
        <f t="shared" si="0"/>
        <v>2</v>
      </c>
      <c r="H36" s="200">
        <v>1</v>
      </c>
      <c r="I36" s="200">
        <v>1</v>
      </c>
      <c r="J36" s="200">
        <v>0</v>
      </c>
      <c r="K36" s="200">
        <v>0</v>
      </c>
      <c r="L36" s="200">
        <v>0</v>
      </c>
    </row>
    <row r="37" s="200" customFormat="1" spans="1:12">
      <c r="A37" s="200">
        <v>35</v>
      </c>
      <c r="C37" s="24" t="s">
        <v>360</v>
      </c>
      <c r="D37" s="200">
        <f t="shared" si="0"/>
        <v>2</v>
      </c>
      <c r="H37" s="200">
        <v>1</v>
      </c>
      <c r="I37" s="200">
        <v>0</v>
      </c>
      <c r="J37" s="200">
        <v>0</v>
      </c>
      <c r="K37" s="200">
        <v>0</v>
      </c>
      <c r="L37" s="200">
        <v>1</v>
      </c>
    </row>
    <row r="38" s="200" customFormat="1" spans="1:12">
      <c r="A38" s="200">
        <v>36</v>
      </c>
      <c r="C38" s="24" t="s">
        <v>361</v>
      </c>
      <c r="D38" s="200">
        <f t="shared" si="0"/>
        <v>4</v>
      </c>
      <c r="H38" s="200">
        <v>1</v>
      </c>
      <c r="I38" s="200">
        <v>0</v>
      </c>
      <c r="J38" s="200">
        <v>0</v>
      </c>
      <c r="K38" s="200">
        <v>0</v>
      </c>
      <c r="L38" s="200">
        <v>1</v>
      </c>
    </row>
    <row r="39" s="200" customFormat="1" spans="1:12">
      <c r="A39" s="200">
        <v>37</v>
      </c>
      <c r="C39" s="24" t="s">
        <v>362</v>
      </c>
      <c r="D39" s="200">
        <f t="shared" si="0"/>
        <v>2</v>
      </c>
      <c r="H39" s="200">
        <v>1</v>
      </c>
      <c r="I39" s="200">
        <v>0</v>
      </c>
      <c r="J39" s="200">
        <v>0</v>
      </c>
      <c r="K39" s="200">
        <v>0</v>
      </c>
      <c r="L39" s="200">
        <v>1</v>
      </c>
    </row>
    <row r="40" s="200" customFormat="1" spans="1:12">
      <c r="A40" s="200">
        <v>38</v>
      </c>
      <c r="C40" s="24" t="s">
        <v>363</v>
      </c>
      <c r="D40" s="200">
        <f t="shared" si="0"/>
        <v>3</v>
      </c>
      <c r="H40" s="200">
        <v>1</v>
      </c>
      <c r="I40" s="200">
        <v>0</v>
      </c>
      <c r="J40" s="200">
        <v>0</v>
      </c>
      <c r="K40" s="200">
        <v>0</v>
      </c>
      <c r="L40" s="200">
        <v>1</v>
      </c>
    </row>
    <row r="41" s="200" customFormat="1" spans="1:12">
      <c r="A41" s="200">
        <v>39</v>
      </c>
      <c r="C41" s="24" t="s">
        <v>364</v>
      </c>
      <c r="D41" s="200">
        <f t="shared" si="0"/>
        <v>2</v>
      </c>
      <c r="H41" s="200">
        <v>1</v>
      </c>
      <c r="I41" s="200">
        <v>0</v>
      </c>
      <c r="J41" s="200">
        <v>0</v>
      </c>
      <c r="K41" s="200">
        <v>1</v>
      </c>
      <c r="L41" s="200">
        <v>0</v>
      </c>
    </row>
    <row r="42" s="200" customFormat="1" spans="1:12">
      <c r="A42" s="200">
        <v>40</v>
      </c>
      <c r="C42" s="24" t="s">
        <v>365</v>
      </c>
      <c r="D42" s="200">
        <f t="shared" si="0"/>
        <v>2</v>
      </c>
      <c r="H42" s="200">
        <v>1</v>
      </c>
      <c r="I42" s="200">
        <v>0</v>
      </c>
      <c r="J42" s="200">
        <v>0</v>
      </c>
      <c r="K42" s="200">
        <v>1</v>
      </c>
      <c r="L42" s="200">
        <v>0</v>
      </c>
    </row>
    <row r="43" s="200" customFormat="1" spans="1:12">
      <c r="A43" s="200">
        <v>41</v>
      </c>
      <c r="C43" s="24" t="s">
        <v>366</v>
      </c>
      <c r="D43" s="200">
        <f t="shared" si="0"/>
        <v>2</v>
      </c>
      <c r="H43" s="200">
        <v>1</v>
      </c>
      <c r="I43" s="200">
        <v>0</v>
      </c>
      <c r="J43" s="200">
        <v>0</v>
      </c>
      <c r="K43" s="200">
        <v>1</v>
      </c>
      <c r="L43" s="200">
        <v>0</v>
      </c>
    </row>
    <row r="44" s="200" customFormat="1" spans="1:12">
      <c r="A44" s="200">
        <v>42</v>
      </c>
      <c r="C44" s="24" t="s">
        <v>367</v>
      </c>
      <c r="D44" s="200">
        <f t="shared" si="0"/>
        <v>2</v>
      </c>
      <c r="H44" s="200">
        <v>1</v>
      </c>
      <c r="I44" s="200">
        <v>0</v>
      </c>
      <c r="J44" s="200">
        <v>0</v>
      </c>
      <c r="K44" s="200">
        <v>1</v>
      </c>
      <c r="L44" s="200">
        <v>0</v>
      </c>
    </row>
    <row r="45" s="200" customFormat="1" spans="1:12">
      <c r="A45" s="200">
        <v>43</v>
      </c>
      <c r="C45" s="24" t="s">
        <v>368</v>
      </c>
      <c r="D45" s="200">
        <f t="shared" si="0"/>
        <v>2</v>
      </c>
      <c r="H45" s="200">
        <v>1</v>
      </c>
      <c r="I45" s="200">
        <v>0</v>
      </c>
      <c r="J45" s="200">
        <v>0</v>
      </c>
      <c r="K45" s="200">
        <v>1</v>
      </c>
      <c r="L45" s="200">
        <v>0</v>
      </c>
    </row>
    <row r="46" s="200" customFormat="1" spans="1:12">
      <c r="A46" s="200">
        <v>44</v>
      </c>
      <c r="C46" s="24" t="s">
        <v>369</v>
      </c>
      <c r="D46" s="200">
        <f t="shared" si="0"/>
        <v>2</v>
      </c>
      <c r="H46" s="200">
        <v>1</v>
      </c>
      <c r="I46" s="200">
        <v>0</v>
      </c>
      <c r="J46" s="200">
        <v>0</v>
      </c>
      <c r="K46" s="200">
        <v>1</v>
      </c>
      <c r="L46" s="200">
        <v>0</v>
      </c>
    </row>
    <row r="47" s="200" customFormat="1" spans="1:12">
      <c r="A47" s="200">
        <v>45</v>
      </c>
      <c r="C47" s="24" t="s">
        <v>370</v>
      </c>
      <c r="D47" s="200">
        <f t="shared" si="0"/>
        <v>2</v>
      </c>
      <c r="H47" s="200">
        <v>1</v>
      </c>
      <c r="I47" s="200">
        <v>0</v>
      </c>
      <c r="J47" s="200">
        <v>1</v>
      </c>
      <c r="K47" s="200">
        <v>0</v>
      </c>
      <c r="L47" s="200">
        <v>0</v>
      </c>
    </row>
    <row r="48" s="200" customFormat="1" spans="1:12">
      <c r="A48" s="200">
        <v>46</v>
      </c>
      <c r="C48" s="24" t="s">
        <v>371</v>
      </c>
      <c r="D48" s="200">
        <f t="shared" si="0"/>
        <v>2</v>
      </c>
      <c r="H48" s="200">
        <v>1</v>
      </c>
      <c r="I48" s="200">
        <v>0</v>
      </c>
      <c r="J48" s="200">
        <v>0</v>
      </c>
      <c r="K48" s="200">
        <v>1</v>
      </c>
      <c r="L48" s="200">
        <v>0</v>
      </c>
    </row>
    <row r="49" s="200" customFormat="1" spans="1:12">
      <c r="A49" s="200">
        <v>47</v>
      </c>
      <c r="C49" s="24" t="s">
        <v>372</v>
      </c>
      <c r="D49" s="200">
        <f t="shared" si="0"/>
        <v>2</v>
      </c>
      <c r="H49" s="200">
        <v>1</v>
      </c>
      <c r="I49" s="200">
        <v>0</v>
      </c>
      <c r="J49" s="200">
        <v>0</v>
      </c>
      <c r="K49" s="200">
        <v>1</v>
      </c>
      <c r="L49" s="200">
        <v>0</v>
      </c>
    </row>
    <row r="50" s="200" customFormat="1" spans="1:12">
      <c r="A50" s="200">
        <v>48</v>
      </c>
      <c r="C50" s="24" t="s">
        <v>373</v>
      </c>
      <c r="D50" s="200">
        <f t="shared" si="0"/>
        <v>2</v>
      </c>
      <c r="H50" s="200">
        <v>1</v>
      </c>
      <c r="I50" s="200">
        <v>0</v>
      </c>
      <c r="J50" s="200">
        <v>0</v>
      </c>
      <c r="K50" s="200">
        <v>0</v>
      </c>
      <c r="L50" s="200">
        <v>1</v>
      </c>
    </row>
    <row r="51" s="200" customFormat="1" spans="1:12">
      <c r="A51" s="200">
        <v>49</v>
      </c>
      <c r="C51" s="24" t="s">
        <v>374</v>
      </c>
      <c r="D51" s="200">
        <f t="shared" si="0"/>
        <v>2</v>
      </c>
      <c r="H51" s="200">
        <v>1</v>
      </c>
      <c r="I51" s="200">
        <v>0</v>
      </c>
      <c r="J51" s="200">
        <v>1</v>
      </c>
      <c r="K51" s="200">
        <v>0</v>
      </c>
      <c r="L51" s="200">
        <v>0</v>
      </c>
    </row>
    <row r="52" s="200" customFormat="1" spans="1:12">
      <c r="A52" s="200">
        <v>50</v>
      </c>
      <c r="C52" s="24" t="s">
        <v>375</v>
      </c>
      <c r="D52" s="200">
        <f t="shared" si="0"/>
        <v>2</v>
      </c>
      <c r="H52" s="200">
        <v>1</v>
      </c>
      <c r="I52" s="200">
        <v>0</v>
      </c>
      <c r="J52" s="200">
        <v>0</v>
      </c>
      <c r="K52" s="200">
        <v>1</v>
      </c>
      <c r="L52" s="200">
        <v>0</v>
      </c>
    </row>
    <row r="53" s="200" customFormat="1" spans="3:3">
      <c r="C53" s="24"/>
    </row>
    <row r="54" s="200" customFormat="1" spans="3:3">
      <c r="C54" s="24"/>
    </row>
    <row r="55" s="200" customFormat="1" spans="3:3">
      <c r="C55" s="24"/>
    </row>
    <row r="56" s="200" customFormat="1" spans="3:3">
      <c r="C56" s="24"/>
    </row>
    <row r="57" s="200" customFormat="1" spans="3:3">
      <c r="C57" s="24"/>
    </row>
    <row r="58" s="200" customFormat="1" spans="3:3">
      <c r="C58" s="24"/>
    </row>
    <row r="59" s="200" customFormat="1" spans="3:3">
      <c r="C59" s="24"/>
    </row>
    <row r="60" s="200" customFormat="1" spans="3:3">
      <c r="C60" s="24"/>
    </row>
    <row r="62" spans="2:3">
      <c r="B62" s="200" t="s">
        <v>376</v>
      </c>
      <c r="C62" s="24" t="s">
        <v>377</v>
      </c>
    </row>
    <row r="63" spans="2:3">
      <c r="B63" s="200" t="s">
        <v>378</v>
      </c>
      <c r="C63" s="24" t="s">
        <v>379</v>
      </c>
    </row>
  </sheetData>
  <sheetProtection selectLockedCells="1" selectUnlockedCells="1"/>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tabColor rgb="FFFFC000"/>
  </sheetPr>
  <dimension ref="A1:P83"/>
  <sheetViews>
    <sheetView workbookViewId="0">
      <pane xSplit="3" ySplit="1" topLeftCell="I17" activePane="bottomRight" state="frozen"/>
      <selection/>
      <selection pane="topRight"/>
      <selection pane="bottomLeft"/>
      <selection pane="bottomRight" activeCell="N22" sqref="N22"/>
    </sheetView>
  </sheetViews>
  <sheetFormatPr defaultColWidth="9" defaultRowHeight="11.25"/>
  <cols>
    <col min="1" max="2" width="9.14285714285714" style="85"/>
    <col min="3" max="3" width="34.4285714285714" style="85" customWidth="1"/>
    <col min="4" max="4" width="9.14285714285714" style="85"/>
    <col min="5" max="5" width="6.42857142857143" style="85" customWidth="1"/>
    <col min="6" max="6" width="9.14285714285714" style="85"/>
    <col min="7" max="7" width="9.14285714285714" style="189"/>
    <col min="8" max="8" width="18.2857142857143" style="85" customWidth="1"/>
    <col min="9" max="257" width="9.14285714285714" style="85"/>
    <col min="258" max="258" width="17.2857142857143" style="85" customWidth="1"/>
    <col min="259" max="259" width="9.14285714285714" style="85"/>
    <col min="260" max="260" width="6.42857142857143" style="85" customWidth="1"/>
    <col min="261" max="262" width="9.14285714285714" style="85"/>
    <col min="263" max="263" width="18.2857142857143" style="85" customWidth="1"/>
    <col min="264" max="513" width="9.14285714285714" style="85"/>
    <col min="514" max="514" width="17.2857142857143" style="85" customWidth="1"/>
    <col min="515" max="515" width="9.14285714285714" style="85"/>
    <col min="516" max="516" width="6.42857142857143" style="85" customWidth="1"/>
    <col min="517" max="518" width="9.14285714285714" style="85"/>
    <col min="519" max="519" width="18.2857142857143" style="85" customWidth="1"/>
    <col min="520" max="769" width="9.14285714285714" style="85"/>
    <col min="770" max="770" width="17.2857142857143" style="85" customWidth="1"/>
    <col min="771" max="771" width="9.14285714285714" style="85"/>
    <col min="772" max="772" width="6.42857142857143" style="85" customWidth="1"/>
    <col min="773" max="774" width="9.14285714285714" style="85"/>
    <col min="775" max="775" width="18.2857142857143" style="85" customWidth="1"/>
    <col min="776" max="1025" width="9.14285714285714" style="85"/>
    <col min="1026" max="1026" width="17.2857142857143" style="85" customWidth="1"/>
    <col min="1027" max="1027" width="9.14285714285714" style="85"/>
    <col min="1028" max="1028" width="6.42857142857143" style="85" customWidth="1"/>
    <col min="1029" max="1030" width="9.14285714285714" style="85"/>
    <col min="1031" max="1031" width="18.2857142857143" style="85" customWidth="1"/>
    <col min="1032" max="1281" width="9.14285714285714" style="85"/>
    <col min="1282" max="1282" width="17.2857142857143" style="85" customWidth="1"/>
    <col min="1283" max="1283" width="9.14285714285714" style="85"/>
    <col min="1284" max="1284" width="6.42857142857143" style="85" customWidth="1"/>
    <col min="1285" max="1286" width="9.14285714285714" style="85"/>
    <col min="1287" max="1287" width="18.2857142857143" style="85" customWidth="1"/>
    <col min="1288" max="1537" width="9.14285714285714" style="85"/>
    <col min="1538" max="1538" width="17.2857142857143" style="85" customWidth="1"/>
    <col min="1539" max="1539" width="9.14285714285714" style="85"/>
    <col min="1540" max="1540" width="6.42857142857143" style="85" customWidth="1"/>
    <col min="1541" max="1542" width="9.14285714285714" style="85"/>
    <col min="1543" max="1543" width="18.2857142857143" style="85" customWidth="1"/>
    <col min="1544" max="1793" width="9.14285714285714" style="85"/>
    <col min="1794" max="1794" width="17.2857142857143" style="85" customWidth="1"/>
    <col min="1795" max="1795" width="9.14285714285714" style="85"/>
    <col min="1796" max="1796" width="6.42857142857143" style="85" customWidth="1"/>
    <col min="1797" max="1798" width="9.14285714285714" style="85"/>
    <col min="1799" max="1799" width="18.2857142857143" style="85" customWidth="1"/>
    <col min="1800" max="2049" width="9.14285714285714" style="85"/>
    <col min="2050" max="2050" width="17.2857142857143" style="85" customWidth="1"/>
    <col min="2051" max="2051" width="9.14285714285714" style="85"/>
    <col min="2052" max="2052" width="6.42857142857143" style="85" customWidth="1"/>
    <col min="2053" max="2054" width="9.14285714285714" style="85"/>
    <col min="2055" max="2055" width="18.2857142857143" style="85" customWidth="1"/>
    <col min="2056" max="2305" width="9.14285714285714" style="85"/>
    <col min="2306" max="2306" width="17.2857142857143" style="85" customWidth="1"/>
    <col min="2307" max="2307" width="9.14285714285714" style="85"/>
    <col min="2308" max="2308" width="6.42857142857143" style="85" customWidth="1"/>
    <col min="2309" max="2310" width="9.14285714285714" style="85"/>
    <col min="2311" max="2311" width="18.2857142857143" style="85" customWidth="1"/>
    <col min="2312" max="2561" width="9.14285714285714" style="85"/>
    <col min="2562" max="2562" width="17.2857142857143" style="85" customWidth="1"/>
    <col min="2563" max="2563" width="9.14285714285714" style="85"/>
    <col min="2564" max="2564" width="6.42857142857143" style="85" customWidth="1"/>
    <col min="2565" max="2566" width="9.14285714285714" style="85"/>
    <col min="2567" max="2567" width="18.2857142857143" style="85" customWidth="1"/>
    <col min="2568" max="2817" width="9.14285714285714" style="85"/>
    <col min="2818" max="2818" width="17.2857142857143" style="85" customWidth="1"/>
    <col min="2819" max="2819" width="9.14285714285714" style="85"/>
    <col min="2820" max="2820" width="6.42857142857143" style="85" customWidth="1"/>
    <col min="2821" max="2822" width="9.14285714285714" style="85"/>
    <col min="2823" max="2823" width="18.2857142857143" style="85" customWidth="1"/>
    <col min="2824" max="3073" width="9.14285714285714" style="85"/>
    <col min="3074" max="3074" width="17.2857142857143" style="85" customWidth="1"/>
    <col min="3075" max="3075" width="9.14285714285714" style="85"/>
    <col min="3076" max="3076" width="6.42857142857143" style="85" customWidth="1"/>
    <col min="3077" max="3078" width="9.14285714285714" style="85"/>
    <col min="3079" max="3079" width="18.2857142857143" style="85" customWidth="1"/>
    <col min="3080" max="3329" width="9.14285714285714" style="85"/>
    <col min="3330" max="3330" width="17.2857142857143" style="85" customWidth="1"/>
    <col min="3331" max="3331" width="9.14285714285714" style="85"/>
    <col min="3332" max="3332" width="6.42857142857143" style="85" customWidth="1"/>
    <col min="3333" max="3334" width="9.14285714285714" style="85"/>
    <col min="3335" max="3335" width="18.2857142857143" style="85" customWidth="1"/>
    <col min="3336" max="3585" width="9.14285714285714" style="85"/>
    <col min="3586" max="3586" width="17.2857142857143" style="85" customWidth="1"/>
    <col min="3587" max="3587" width="9.14285714285714" style="85"/>
    <col min="3588" max="3588" width="6.42857142857143" style="85" customWidth="1"/>
    <col min="3589" max="3590" width="9.14285714285714" style="85"/>
    <col min="3591" max="3591" width="18.2857142857143" style="85" customWidth="1"/>
    <col min="3592" max="3841" width="9.14285714285714" style="85"/>
    <col min="3842" max="3842" width="17.2857142857143" style="85" customWidth="1"/>
    <col min="3843" max="3843" width="9.14285714285714" style="85"/>
    <col min="3844" max="3844" width="6.42857142857143" style="85" customWidth="1"/>
    <col min="3845" max="3846" width="9.14285714285714" style="85"/>
    <col min="3847" max="3847" width="18.2857142857143" style="85" customWidth="1"/>
    <col min="3848" max="4097" width="9.14285714285714" style="85"/>
    <col min="4098" max="4098" width="17.2857142857143" style="85" customWidth="1"/>
    <col min="4099" max="4099" width="9.14285714285714" style="85"/>
    <col min="4100" max="4100" width="6.42857142857143" style="85" customWidth="1"/>
    <col min="4101" max="4102" width="9.14285714285714" style="85"/>
    <col min="4103" max="4103" width="18.2857142857143" style="85" customWidth="1"/>
    <col min="4104" max="4353" width="9.14285714285714" style="85"/>
    <col min="4354" max="4354" width="17.2857142857143" style="85" customWidth="1"/>
    <col min="4355" max="4355" width="9.14285714285714" style="85"/>
    <col min="4356" max="4356" width="6.42857142857143" style="85" customWidth="1"/>
    <col min="4357" max="4358" width="9.14285714285714" style="85"/>
    <col min="4359" max="4359" width="18.2857142857143" style="85" customWidth="1"/>
    <col min="4360" max="4609" width="9.14285714285714" style="85"/>
    <col min="4610" max="4610" width="17.2857142857143" style="85" customWidth="1"/>
    <col min="4611" max="4611" width="9.14285714285714" style="85"/>
    <col min="4612" max="4612" width="6.42857142857143" style="85" customWidth="1"/>
    <col min="4613" max="4614" width="9.14285714285714" style="85"/>
    <col min="4615" max="4615" width="18.2857142857143" style="85" customWidth="1"/>
    <col min="4616" max="4865" width="9.14285714285714" style="85"/>
    <col min="4866" max="4866" width="17.2857142857143" style="85" customWidth="1"/>
    <col min="4867" max="4867" width="9.14285714285714" style="85"/>
    <col min="4868" max="4868" width="6.42857142857143" style="85" customWidth="1"/>
    <col min="4869" max="4870" width="9.14285714285714" style="85"/>
    <col min="4871" max="4871" width="18.2857142857143" style="85" customWidth="1"/>
    <col min="4872" max="5121" width="9.14285714285714" style="85"/>
    <col min="5122" max="5122" width="17.2857142857143" style="85" customWidth="1"/>
    <col min="5123" max="5123" width="9.14285714285714" style="85"/>
    <col min="5124" max="5124" width="6.42857142857143" style="85" customWidth="1"/>
    <col min="5125" max="5126" width="9.14285714285714" style="85"/>
    <col min="5127" max="5127" width="18.2857142857143" style="85" customWidth="1"/>
    <col min="5128" max="5377" width="9.14285714285714" style="85"/>
    <col min="5378" max="5378" width="17.2857142857143" style="85" customWidth="1"/>
    <col min="5379" max="5379" width="9.14285714285714" style="85"/>
    <col min="5380" max="5380" width="6.42857142857143" style="85" customWidth="1"/>
    <col min="5381" max="5382" width="9.14285714285714" style="85"/>
    <col min="5383" max="5383" width="18.2857142857143" style="85" customWidth="1"/>
    <col min="5384" max="5633" width="9.14285714285714" style="85"/>
    <col min="5634" max="5634" width="17.2857142857143" style="85" customWidth="1"/>
    <col min="5635" max="5635" width="9.14285714285714" style="85"/>
    <col min="5636" max="5636" width="6.42857142857143" style="85" customWidth="1"/>
    <col min="5637" max="5638" width="9.14285714285714" style="85"/>
    <col min="5639" max="5639" width="18.2857142857143" style="85" customWidth="1"/>
    <col min="5640" max="5889" width="9.14285714285714" style="85"/>
    <col min="5890" max="5890" width="17.2857142857143" style="85" customWidth="1"/>
    <col min="5891" max="5891" width="9.14285714285714" style="85"/>
    <col min="5892" max="5892" width="6.42857142857143" style="85" customWidth="1"/>
    <col min="5893" max="5894" width="9.14285714285714" style="85"/>
    <col min="5895" max="5895" width="18.2857142857143" style="85" customWidth="1"/>
    <col min="5896" max="6145" width="9.14285714285714" style="85"/>
    <col min="6146" max="6146" width="17.2857142857143" style="85" customWidth="1"/>
    <col min="6147" max="6147" width="9.14285714285714" style="85"/>
    <col min="6148" max="6148" width="6.42857142857143" style="85" customWidth="1"/>
    <col min="6149" max="6150" width="9.14285714285714" style="85"/>
    <col min="6151" max="6151" width="18.2857142857143" style="85" customWidth="1"/>
    <col min="6152" max="6401" width="9.14285714285714" style="85"/>
    <col min="6402" max="6402" width="17.2857142857143" style="85" customWidth="1"/>
    <col min="6403" max="6403" width="9.14285714285714" style="85"/>
    <col min="6404" max="6404" width="6.42857142857143" style="85" customWidth="1"/>
    <col min="6405" max="6406" width="9.14285714285714" style="85"/>
    <col min="6407" max="6407" width="18.2857142857143" style="85" customWidth="1"/>
    <col min="6408" max="6657" width="9.14285714285714" style="85"/>
    <col min="6658" max="6658" width="17.2857142857143" style="85" customWidth="1"/>
    <col min="6659" max="6659" width="9.14285714285714" style="85"/>
    <col min="6660" max="6660" width="6.42857142857143" style="85" customWidth="1"/>
    <col min="6661" max="6662" width="9.14285714285714" style="85"/>
    <col min="6663" max="6663" width="18.2857142857143" style="85" customWidth="1"/>
    <col min="6664" max="6913" width="9.14285714285714" style="85"/>
    <col min="6914" max="6914" width="17.2857142857143" style="85" customWidth="1"/>
    <col min="6915" max="6915" width="9.14285714285714" style="85"/>
    <col min="6916" max="6916" width="6.42857142857143" style="85" customWidth="1"/>
    <col min="6917" max="6918" width="9.14285714285714" style="85"/>
    <col min="6919" max="6919" width="18.2857142857143" style="85" customWidth="1"/>
    <col min="6920" max="7169" width="9.14285714285714" style="85"/>
    <col min="7170" max="7170" width="17.2857142857143" style="85" customWidth="1"/>
    <col min="7171" max="7171" width="9.14285714285714" style="85"/>
    <col min="7172" max="7172" width="6.42857142857143" style="85" customWidth="1"/>
    <col min="7173" max="7174" width="9.14285714285714" style="85"/>
    <col min="7175" max="7175" width="18.2857142857143" style="85" customWidth="1"/>
    <col min="7176" max="7425" width="9.14285714285714" style="85"/>
    <col min="7426" max="7426" width="17.2857142857143" style="85" customWidth="1"/>
    <col min="7427" max="7427" width="9.14285714285714" style="85"/>
    <col min="7428" max="7428" width="6.42857142857143" style="85" customWidth="1"/>
    <col min="7429" max="7430" width="9.14285714285714" style="85"/>
    <col min="7431" max="7431" width="18.2857142857143" style="85" customWidth="1"/>
    <col min="7432" max="7681" width="9.14285714285714" style="85"/>
    <col min="7682" max="7682" width="17.2857142857143" style="85" customWidth="1"/>
    <col min="7683" max="7683" width="9.14285714285714" style="85"/>
    <col min="7684" max="7684" width="6.42857142857143" style="85" customWidth="1"/>
    <col min="7685" max="7686" width="9.14285714285714" style="85"/>
    <col min="7687" max="7687" width="18.2857142857143" style="85" customWidth="1"/>
    <col min="7688" max="7937" width="9.14285714285714" style="85"/>
    <col min="7938" max="7938" width="17.2857142857143" style="85" customWidth="1"/>
    <col min="7939" max="7939" width="9.14285714285714" style="85"/>
    <col min="7940" max="7940" width="6.42857142857143" style="85" customWidth="1"/>
    <col min="7941" max="7942" width="9.14285714285714" style="85"/>
    <col min="7943" max="7943" width="18.2857142857143" style="85" customWidth="1"/>
    <col min="7944" max="8193" width="9.14285714285714" style="85"/>
    <col min="8194" max="8194" width="17.2857142857143" style="85" customWidth="1"/>
    <col min="8195" max="8195" width="9.14285714285714" style="85"/>
    <col min="8196" max="8196" width="6.42857142857143" style="85" customWidth="1"/>
    <col min="8197" max="8198" width="9.14285714285714" style="85"/>
    <col min="8199" max="8199" width="18.2857142857143" style="85" customWidth="1"/>
    <col min="8200" max="8449" width="9.14285714285714" style="85"/>
    <col min="8450" max="8450" width="17.2857142857143" style="85" customWidth="1"/>
    <col min="8451" max="8451" width="9.14285714285714" style="85"/>
    <col min="8452" max="8452" width="6.42857142857143" style="85" customWidth="1"/>
    <col min="8453" max="8454" width="9.14285714285714" style="85"/>
    <col min="8455" max="8455" width="18.2857142857143" style="85" customWidth="1"/>
    <col min="8456" max="8705" width="9.14285714285714" style="85"/>
    <col min="8706" max="8706" width="17.2857142857143" style="85" customWidth="1"/>
    <col min="8707" max="8707" width="9.14285714285714" style="85"/>
    <col min="8708" max="8708" width="6.42857142857143" style="85" customWidth="1"/>
    <col min="8709" max="8710" width="9.14285714285714" style="85"/>
    <col min="8711" max="8711" width="18.2857142857143" style="85" customWidth="1"/>
    <col min="8712" max="8961" width="9.14285714285714" style="85"/>
    <col min="8962" max="8962" width="17.2857142857143" style="85" customWidth="1"/>
    <col min="8963" max="8963" width="9.14285714285714" style="85"/>
    <col min="8964" max="8964" width="6.42857142857143" style="85" customWidth="1"/>
    <col min="8965" max="8966" width="9.14285714285714" style="85"/>
    <col min="8967" max="8967" width="18.2857142857143" style="85" customWidth="1"/>
    <col min="8968" max="9217" width="9.14285714285714" style="85"/>
    <col min="9218" max="9218" width="17.2857142857143" style="85" customWidth="1"/>
    <col min="9219" max="9219" width="9.14285714285714" style="85"/>
    <col min="9220" max="9220" width="6.42857142857143" style="85" customWidth="1"/>
    <col min="9221" max="9222" width="9.14285714285714" style="85"/>
    <col min="9223" max="9223" width="18.2857142857143" style="85" customWidth="1"/>
    <col min="9224" max="9473" width="9.14285714285714" style="85"/>
    <col min="9474" max="9474" width="17.2857142857143" style="85" customWidth="1"/>
    <col min="9475" max="9475" width="9.14285714285714" style="85"/>
    <col min="9476" max="9476" width="6.42857142857143" style="85" customWidth="1"/>
    <col min="9477" max="9478" width="9.14285714285714" style="85"/>
    <col min="9479" max="9479" width="18.2857142857143" style="85" customWidth="1"/>
    <col min="9480" max="9729" width="9.14285714285714" style="85"/>
    <col min="9730" max="9730" width="17.2857142857143" style="85" customWidth="1"/>
    <col min="9731" max="9731" width="9.14285714285714" style="85"/>
    <col min="9732" max="9732" width="6.42857142857143" style="85" customWidth="1"/>
    <col min="9733" max="9734" width="9.14285714285714" style="85"/>
    <col min="9735" max="9735" width="18.2857142857143" style="85" customWidth="1"/>
    <col min="9736" max="9985" width="9.14285714285714" style="85"/>
    <col min="9986" max="9986" width="17.2857142857143" style="85" customWidth="1"/>
    <col min="9987" max="9987" width="9.14285714285714" style="85"/>
    <col min="9988" max="9988" width="6.42857142857143" style="85" customWidth="1"/>
    <col min="9989" max="9990" width="9.14285714285714" style="85"/>
    <col min="9991" max="9991" width="18.2857142857143" style="85" customWidth="1"/>
    <col min="9992" max="10241" width="9.14285714285714" style="85"/>
    <col min="10242" max="10242" width="17.2857142857143" style="85" customWidth="1"/>
    <col min="10243" max="10243" width="9.14285714285714" style="85"/>
    <col min="10244" max="10244" width="6.42857142857143" style="85" customWidth="1"/>
    <col min="10245" max="10246" width="9.14285714285714" style="85"/>
    <col min="10247" max="10247" width="18.2857142857143" style="85" customWidth="1"/>
    <col min="10248" max="10497" width="9.14285714285714" style="85"/>
    <col min="10498" max="10498" width="17.2857142857143" style="85" customWidth="1"/>
    <col min="10499" max="10499" width="9.14285714285714" style="85"/>
    <col min="10500" max="10500" width="6.42857142857143" style="85" customWidth="1"/>
    <col min="10501" max="10502" width="9.14285714285714" style="85"/>
    <col min="10503" max="10503" width="18.2857142857143" style="85" customWidth="1"/>
    <col min="10504" max="10753" width="9.14285714285714" style="85"/>
    <col min="10754" max="10754" width="17.2857142857143" style="85" customWidth="1"/>
    <col min="10755" max="10755" width="9.14285714285714" style="85"/>
    <col min="10756" max="10756" width="6.42857142857143" style="85" customWidth="1"/>
    <col min="10757" max="10758" width="9.14285714285714" style="85"/>
    <col min="10759" max="10759" width="18.2857142857143" style="85" customWidth="1"/>
    <col min="10760" max="11009" width="9.14285714285714" style="85"/>
    <col min="11010" max="11010" width="17.2857142857143" style="85" customWidth="1"/>
    <col min="11011" max="11011" width="9.14285714285714" style="85"/>
    <col min="11012" max="11012" width="6.42857142857143" style="85" customWidth="1"/>
    <col min="11013" max="11014" width="9.14285714285714" style="85"/>
    <col min="11015" max="11015" width="18.2857142857143" style="85" customWidth="1"/>
    <col min="11016" max="11265" width="9.14285714285714" style="85"/>
    <col min="11266" max="11266" width="17.2857142857143" style="85" customWidth="1"/>
    <col min="11267" max="11267" width="9.14285714285714" style="85"/>
    <col min="11268" max="11268" width="6.42857142857143" style="85" customWidth="1"/>
    <col min="11269" max="11270" width="9.14285714285714" style="85"/>
    <col min="11271" max="11271" width="18.2857142857143" style="85" customWidth="1"/>
    <col min="11272" max="11521" width="9.14285714285714" style="85"/>
    <col min="11522" max="11522" width="17.2857142857143" style="85" customWidth="1"/>
    <col min="11523" max="11523" width="9.14285714285714" style="85"/>
    <col min="11524" max="11524" width="6.42857142857143" style="85" customWidth="1"/>
    <col min="11525" max="11526" width="9.14285714285714" style="85"/>
    <col min="11527" max="11527" width="18.2857142857143" style="85" customWidth="1"/>
    <col min="11528" max="11777" width="9.14285714285714" style="85"/>
    <col min="11778" max="11778" width="17.2857142857143" style="85" customWidth="1"/>
    <col min="11779" max="11779" width="9.14285714285714" style="85"/>
    <col min="11780" max="11780" width="6.42857142857143" style="85" customWidth="1"/>
    <col min="11781" max="11782" width="9.14285714285714" style="85"/>
    <col min="11783" max="11783" width="18.2857142857143" style="85" customWidth="1"/>
    <col min="11784" max="12033" width="9.14285714285714" style="85"/>
    <col min="12034" max="12034" width="17.2857142857143" style="85" customWidth="1"/>
    <col min="12035" max="12035" width="9.14285714285714" style="85"/>
    <col min="12036" max="12036" width="6.42857142857143" style="85" customWidth="1"/>
    <col min="12037" max="12038" width="9.14285714285714" style="85"/>
    <col min="12039" max="12039" width="18.2857142857143" style="85" customWidth="1"/>
    <col min="12040" max="12289" width="9.14285714285714" style="85"/>
    <col min="12290" max="12290" width="17.2857142857143" style="85" customWidth="1"/>
    <col min="12291" max="12291" width="9.14285714285714" style="85"/>
    <col min="12292" max="12292" width="6.42857142857143" style="85" customWidth="1"/>
    <col min="12293" max="12294" width="9.14285714285714" style="85"/>
    <col min="12295" max="12295" width="18.2857142857143" style="85" customWidth="1"/>
    <col min="12296" max="12545" width="9.14285714285714" style="85"/>
    <col min="12546" max="12546" width="17.2857142857143" style="85" customWidth="1"/>
    <col min="12547" max="12547" width="9.14285714285714" style="85"/>
    <col min="12548" max="12548" width="6.42857142857143" style="85" customWidth="1"/>
    <col min="12549" max="12550" width="9.14285714285714" style="85"/>
    <col min="12551" max="12551" width="18.2857142857143" style="85" customWidth="1"/>
    <col min="12552" max="12801" width="9.14285714285714" style="85"/>
    <col min="12802" max="12802" width="17.2857142857143" style="85" customWidth="1"/>
    <col min="12803" max="12803" width="9.14285714285714" style="85"/>
    <col min="12804" max="12804" width="6.42857142857143" style="85" customWidth="1"/>
    <col min="12805" max="12806" width="9.14285714285714" style="85"/>
    <col min="12807" max="12807" width="18.2857142857143" style="85" customWidth="1"/>
    <col min="12808" max="13057" width="9.14285714285714" style="85"/>
    <col min="13058" max="13058" width="17.2857142857143" style="85" customWidth="1"/>
    <col min="13059" max="13059" width="9.14285714285714" style="85"/>
    <col min="13060" max="13060" width="6.42857142857143" style="85" customWidth="1"/>
    <col min="13061" max="13062" width="9.14285714285714" style="85"/>
    <col min="13063" max="13063" width="18.2857142857143" style="85" customWidth="1"/>
    <col min="13064" max="13313" width="9.14285714285714" style="85"/>
    <col min="13314" max="13314" width="17.2857142857143" style="85" customWidth="1"/>
    <col min="13315" max="13315" width="9.14285714285714" style="85"/>
    <col min="13316" max="13316" width="6.42857142857143" style="85" customWidth="1"/>
    <col min="13317" max="13318" width="9.14285714285714" style="85"/>
    <col min="13319" max="13319" width="18.2857142857143" style="85" customWidth="1"/>
    <col min="13320" max="13569" width="9.14285714285714" style="85"/>
    <col min="13570" max="13570" width="17.2857142857143" style="85" customWidth="1"/>
    <col min="13571" max="13571" width="9.14285714285714" style="85"/>
    <col min="13572" max="13572" width="6.42857142857143" style="85" customWidth="1"/>
    <col min="13573" max="13574" width="9.14285714285714" style="85"/>
    <col min="13575" max="13575" width="18.2857142857143" style="85" customWidth="1"/>
    <col min="13576" max="13825" width="9.14285714285714" style="85"/>
    <col min="13826" max="13826" width="17.2857142857143" style="85" customWidth="1"/>
    <col min="13827" max="13827" width="9.14285714285714" style="85"/>
    <col min="13828" max="13828" width="6.42857142857143" style="85" customWidth="1"/>
    <col min="13829" max="13830" width="9.14285714285714" style="85"/>
    <col min="13831" max="13831" width="18.2857142857143" style="85" customWidth="1"/>
    <col min="13832" max="14081" width="9.14285714285714" style="85"/>
    <col min="14082" max="14082" width="17.2857142857143" style="85" customWidth="1"/>
    <col min="14083" max="14083" width="9.14285714285714" style="85"/>
    <col min="14084" max="14084" width="6.42857142857143" style="85" customWidth="1"/>
    <col min="14085" max="14086" width="9.14285714285714" style="85"/>
    <col min="14087" max="14087" width="18.2857142857143" style="85" customWidth="1"/>
    <col min="14088" max="14337" width="9.14285714285714" style="85"/>
    <col min="14338" max="14338" width="17.2857142857143" style="85" customWidth="1"/>
    <col min="14339" max="14339" width="9.14285714285714" style="85"/>
    <col min="14340" max="14340" width="6.42857142857143" style="85" customWidth="1"/>
    <col min="14341" max="14342" width="9.14285714285714" style="85"/>
    <col min="14343" max="14343" width="18.2857142857143" style="85" customWidth="1"/>
    <col min="14344" max="14593" width="9.14285714285714" style="85"/>
    <col min="14594" max="14594" width="17.2857142857143" style="85" customWidth="1"/>
    <col min="14595" max="14595" width="9.14285714285714" style="85"/>
    <col min="14596" max="14596" width="6.42857142857143" style="85" customWidth="1"/>
    <col min="14597" max="14598" width="9.14285714285714" style="85"/>
    <col min="14599" max="14599" width="18.2857142857143" style="85" customWidth="1"/>
    <col min="14600" max="14849" width="9.14285714285714" style="85"/>
    <col min="14850" max="14850" width="17.2857142857143" style="85" customWidth="1"/>
    <col min="14851" max="14851" width="9.14285714285714" style="85"/>
    <col min="14852" max="14852" width="6.42857142857143" style="85" customWidth="1"/>
    <col min="14853" max="14854" width="9.14285714285714" style="85"/>
    <col min="14855" max="14855" width="18.2857142857143" style="85" customWidth="1"/>
    <col min="14856" max="15105" width="9.14285714285714" style="85"/>
    <col min="15106" max="15106" width="17.2857142857143" style="85" customWidth="1"/>
    <col min="15107" max="15107" width="9.14285714285714" style="85"/>
    <col min="15108" max="15108" width="6.42857142857143" style="85" customWidth="1"/>
    <col min="15109" max="15110" width="9.14285714285714" style="85"/>
    <col min="15111" max="15111" width="18.2857142857143" style="85" customWidth="1"/>
    <col min="15112" max="15361" width="9.14285714285714" style="85"/>
    <col min="15362" max="15362" width="17.2857142857143" style="85" customWidth="1"/>
    <col min="15363" max="15363" width="9.14285714285714" style="85"/>
    <col min="15364" max="15364" width="6.42857142857143" style="85" customWidth="1"/>
    <col min="15365" max="15366" width="9.14285714285714" style="85"/>
    <col min="15367" max="15367" width="18.2857142857143" style="85" customWidth="1"/>
    <col min="15368" max="15617" width="9.14285714285714" style="85"/>
    <col min="15618" max="15618" width="17.2857142857143" style="85" customWidth="1"/>
    <col min="15619" max="15619" width="9.14285714285714" style="85"/>
    <col min="15620" max="15620" width="6.42857142857143" style="85" customWidth="1"/>
    <col min="15621" max="15622" width="9.14285714285714" style="85"/>
    <col min="15623" max="15623" width="18.2857142857143" style="85" customWidth="1"/>
    <col min="15624" max="15873" width="9.14285714285714" style="85"/>
    <col min="15874" max="15874" width="17.2857142857143" style="85" customWidth="1"/>
    <col min="15875" max="15875" width="9.14285714285714" style="85"/>
    <col min="15876" max="15876" width="6.42857142857143" style="85" customWidth="1"/>
    <col min="15877" max="15878" width="9.14285714285714" style="85"/>
    <col min="15879" max="15879" width="18.2857142857143" style="85" customWidth="1"/>
    <col min="15880" max="16129" width="9.14285714285714" style="85"/>
    <col min="16130" max="16130" width="17.2857142857143" style="85" customWidth="1"/>
    <col min="16131" max="16131" width="9.14285714285714" style="85"/>
    <col min="16132" max="16132" width="6.42857142857143" style="85" customWidth="1"/>
    <col min="16133" max="16134" width="9.14285714285714" style="85"/>
    <col min="16135" max="16135" width="18.2857142857143" style="85" customWidth="1"/>
    <col min="16136" max="16384" width="9.14285714285714" style="85"/>
  </cols>
  <sheetData>
    <row r="1" spans="1:16">
      <c r="A1" s="164" t="s">
        <v>380</v>
      </c>
      <c r="B1" s="164" t="s">
        <v>381</v>
      </c>
      <c r="C1" s="164" t="s">
        <v>382</v>
      </c>
      <c r="D1" s="164" t="s">
        <v>383</v>
      </c>
      <c r="E1" s="164"/>
      <c r="F1" s="190" t="s">
        <v>384</v>
      </c>
      <c r="G1" s="191"/>
      <c r="L1" s="85">
        <v>0</v>
      </c>
      <c r="M1" s="85">
        <v>1</v>
      </c>
      <c r="N1" s="85">
        <v>2</v>
      </c>
      <c r="O1" s="85">
        <v>3</v>
      </c>
      <c r="P1" s="85">
        <v>4</v>
      </c>
    </row>
    <row r="2" spans="1:16">
      <c r="A2" s="85">
        <v>0</v>
      </c>
      <c r="C2" s="85" t="s">
        <v>317</v>
      </c>
      <c r="D2" s="85" t="str">
        <f>C2</f>
        <v>&lt;none&gt;</v>
      </c>
      <c r="F2" s="192">
        <v>0</v>
      </c>
      <c r="G2" s="193"/>
      <c r="I2" s="195"/>
      <c r="K2" s="85" t="s">
        <v>385</v>
      </c>
      <c r="M2" s="85" t="str">
        <f>INDEX(tblIndiSets!$C$4:$C$7,M1)</f>
        <v>1) DIGITAL SECURITY</v>
      </c>
      <c r="N2" s="85" t="str">
        <f>INDEX(tblIndiSets!$C$4:$C$7,N1)</f>
        <v>2) HEALTH SECURITY</v>
      </c>
      <c r="O2" s="85" t="str">
        <f>INDEX(tblIndiSets!$C$4:$C$7,O1)</f>
        <v>3) INFRASTRUCTURE SAFETY</v>
      </c>
      <c r="P2" s="85" t="str">
        <f>INDEX(tblIndiSets!$C$4:$C$7,P1)</f>
        <v>4) PERSONAL SAFETY</v>
      </c>
    </row>
    <row r="3" ht="12.75" spans="1:16">
      <c r="A3" s="85">
        <v>1</v>
      </c>
      <c r="C3" s="194" t="str">
        <f>tblIndiSets!C195</f>
        <v>1.1.1) Privacy policy</v>
      </c>
      <c r="D3" s="85" t="str">
        <f>C3</f>
        <v>1.1.1) Privacy policy</v>
      </c>
      <c r="F3" s="195">
        <f t="shared" ref="F3" si="0">IF(INDEX($M3:$P3,$I$5)=0,0,IF(A3=$I$3,3,IF(INDEX($L3:$P3,$I$4)=1,1,1)))</f>
        <v>1</v>
      </c>
      <c r="G3" s="196"/>
      <c r="H3" s="85" t="s">
        <v>386</v>
      </c>
      <c r="I3" s="195">
        <f>uxbWorks!B17</f>
        <v>39</v>
      </c>
      <c r="K3" s="85">
        <v>0</v>
      </c>
      <c r="L3" s="85">
        <v>1</v>
      </c>
      <c r="M3" s="85">
        <v>1</v>
      </c>
      <c r="N3" s="85">
        <v>0</v>
      </c>
      <c r="O3" s="198">
        <v>0</v>
      </c>
      <c r="P3" s="198">
        <v>0</v>
      </c>
    </row>
    <row r="4" ht="12.75" spans="1:16">
      <c r="A4" s="85">
        <v>2</v>
      </c>
      <c r="C4" s="194" t="str">
        <f>tblIndiSets!C196</f>
        <v>1.1.2) Citizen awareness of digital threats</v>
      </c>
      <c r="D4" s="85" t="str">
        <f t="shared" ref="D4:D46" si="1">C4</f>
        <v>1.1.2) Citizen awareness of digital threats</v>
      </c>
      <c r="F4" s="195">
        <f t="shared" ref="F4:F46" si="2">IF(INDEX($M4:$P4,$I$5)=0,0,IF(A4=$I$3,3,IF(INDEX($L4:$P4,$I$4)=1,1,1)))</f>
        <v>1</v>
      </c>
      <c r="G4" s="196"/>
      <c r="H4" s="85" t="s">
        <v>387</v>
      </c>
      <c r="I4" s="195">
        <f>uxbWorks!B23</f>
        <v>1</v>
      </c>
      <c r="L4" s="85">
        <v>1</v>
      </c>
      <c r="M4" s="85">
        <v>1</v>
      </c>
      <c r="N4" s="85">
        <v>0</v>
      </c>
      <c r="O4" s="198">
        <v>0</v>
      </c>
      <c r="P4" s="198">
        <v>0</v>
      </c>
    </row>
    <row r="5" ht="12.75" spans="1:16">
      <c r="A5" s="85">
        <v>3</v>
      </c>
      <c r="C5" s="194" t="str">
        <f>tblIndiSets!C197</f>
        <v>1.1.3) City reliance on digital infrastructure</v>
      </c>
      <c r="D5" s="85" t="str">
        <f t="shared" si="1"/>
        <v>1.1.3) City reliance on digital infrastructure</v>
      </c>
      <c r="F5" s="195">
        <f t="shared" si="2"/>
        <v>1</v>
      </c>
      <c r="G5" s="196"/>
      <c r="H5" s="85" t="s">
        <v>31</v>
      </c>
      <c r="I5" s="195">
        <f>uxbWorks!B43</f>
        <v>1</v>
      </c>
      <c r="L5" s="85">
        <v>1</v>
      </c>
      <c r="M5" s="85">
        <v>1</v>
      </c>
      <c r="N5" s="85">
        <v>0</v>
      </c>
      <c r="O5" s="198">
        <v>0</v>
      </c>
      <c r="P5" s="198">
        <v>0</v>
      </c>
    </row>
    <row r="6" ht="12.75" spans="1:16">
      <c r="A6" s="85">
        <v>4</v>
      </c>
      <c r="C6" s="194" t="str">
        <f>tblIndiSets!C198</f>
        <v>1.1.4) Public-private partnerships</v>
      </c>
      <c r="D6" s="85" t="str">
        <f t="shared" si="1"/>
        <v>1.1.4) Public-private partnerships</v>
      </c>
      <c r="F6" s="195">
        <f t="shared" si="2"/>
        <v>1</v>
      </c>
      <c r="G6" s="196"/>
      <c r="L6" s="85">
        <v>1</v>
      </c>
      <c r="M6" s="85">
        <v>1</v>
      </c>
      <c r="N6" s="85">
        <v>0</v>
      </c>
      <c r="O6" s="198">
        <v>0</v>
      </c>
      <c r="P6" s="198">
        <v>0</v>
      </c>
    </row>
    <row r="7" ht="12.75" spans="1:16">
      <c r="A7" s="85">
        <v>5</v>
      </c>
      <c r="C7" s="194" t="str">
        <f>tblIndiSets!C199</f>
        <v>1.1.5) Level of technology employed</v>
      </c>
      <c r="D7" s="85" t="str">
        <f t="shared" si="1"/>
        <v>1.1.5) Level of technology employed</v>
      </c>
      <c r="F7" s="195">
        <f t="shared" si="2"/>
        <v>1</v>
      </c>
      <c r="G7" s="196"/>
      <c r="L7" s="85">
        <v>1</v>
      </c>
      <c r="M7" s="85">
        <v>1</v>
      </c>
      <c r="N7" s="85">
        <v>0</v>
      </c>
      <c r="O7" s="198">
        <v>0</v>
      </c>
      <c r="P7" s="198">
        <v>0</v>
      </c>
    </row>
    <row r="8" ht="12.75" spans="1:16">
      <c r="A8" s="85">
        <v>6</v>
      </c>
      <c r="C8" s="194" t="str">
        <f>tblIndiSets!C200</f>
        <v>1.1.6) Dedicated cyber security teams</v>
      </c>
      <c r="D8" s="85" t="str">
        <f t="shared" si="1"/>
        <v>1.1.6) Dedicated cyber security teams</v>
      </c>
      <c r="F8" s="195">
        <f t="shared" si="2"/>
        <v>1</v>
      </c>
      <c r="G8" s="196"/>
      <c r="L8" s="85">
        <v>1</v>
      </c>
      <c r="M8" s="85">
        <v>1</v>
      </c>
      <c r="N8" s="85">
        <v>0</v>
      </c>
      <c r="O8" s="198">
        <v>0</v>
      </c>
      <c r="P8" s="198">
        <v>0</v>
      </c>
    </row>
    <row r="9" ht="12.75" spans="1:16">
      <c r="A9" s="85">
        <v>7</v>
      </c>
      <c r="C9" s="194" t="str">
        <f>tblIndiSets!C201</f>
        <v>1.2.1) Frequency of identity theft</v>
      </c>
      <c r="D9" s="85" t="str">
        <f t="shared" si="1"/>
        <v>1.2.1) Frequency of identity theft</v>
      </c>
      <c r="F9" s="195">
        <f t="shared" si="2"/>
        <v>1</v>
      </c>
      <c r="G9" s="196"/>
      <c r="L9" s="85">
        <v>1</v>
      </c>
      <c r="M9" s="85">
        <v>1</v>
      </c>
      <c r="N9" s="85">
        <v>0</v>
      </c>
      <c r="O9" s="198">
        <v>0</v>
      </c>
      <c r="P9" s="198">
        <v>0</v>
      </c>
    </row>
    <row r="10" ht="12.75" spans="1:16">
      <c r="A10" s="85">
        <v>8</v>
      </c>
      <c r="C10" s="194" t="str">
        <f>tblIndiSets!C202</f>
        <v>1.2.2) Precentage of computers infected</v>
      </c>
      <c r="D10" s="85" t="str">
        <f t="shared" si="1"/>
        <v>1.2.2) Precentage of computers infected</v>
      </c>
      <c r="F10" s="195">
        <f t="shared" si="2"/>
        <v>1</v>
      </c>
      <c r="G10" s="196"/>
      <c r="L10" s="85">
        <v>1</v>
      </c>
      <c r="M10" s="85">
        <v>1</v>
      </c>
      <c r="N10" s="85">
        <v>0</v>
      </c>
      <c r="O10" s="198">
        <v>0</v>
      </c>
      <c r="P10" s="198">
        <v>0</v>
      </c>
    </row>
    <row r="11" ht="12.75" spans="1:16">
      <c r="A11" s="85">
        <v>9</v>
      </c>
      <c r="C11" s="194" t="str">
        <f>tblIndiSets!C203</f>
        <v>1.2.3) Percent with internet access</v>
      </c>
      <c r="D11" s="85" t="str">
        <f t="shared" si="1"/>
        <v>1.2.3) Percent with internet access</v>
      </c>
      <c r="F11" s="195">
        <f t="shared" si="2"/>
        <v>1</v>
      </c>
      <c r="G11" s="196"/>
      <c r="L11" s="85">
        <v>1</v>
      </c>
      <c r="M11" s="85">
        <v>1</v>
      </c>
      <c r="N11" s="85">
        <v>0</v>
      </c>
      <c r="O11" s="198">
        <v>0</v>
      </c>
      <c r="P11" s="198">
        <v>0</v>
      </c>
    </row>
    <row r="12" ht="12.75" spans="1:16">
      <c r="A12" s="85">
        <v>10</v>
      </c>
      <c r="C12" s="194" t="str">
        <f>tblIndiSets!C204</f>
        <v>2.1.1) Environmental policies</v>
      </c>
      <c r="D12" s="85" t="str">
        <f t="shared" si="1"/>
        <v>2.1.1) Environmental policies</v>
      </c>
      <c r="F12" s="195">
        <f t="shared" si="2"/>
        <v>0</v>
      </c>
      <c r="G12" s="196"/>
      <c r="L12" s="85">
        <v>1</v>
      </c>
      <c r="M12" s="85">
        <v>0</v>
      </c>
      <c r="N12" s="85">
        <v>1</v>
      </c>
      <c r="O12" s="198">
        <v>0</v>
      </c>
      <c r="P12" s="198">
        <v>0</v>
      </c>
    </row>
    <row r="13" ht="12.75" spans="1:16">
      <c r="A13" s="85">
        <v>11</v>
      </c>
      <c r="C13" s="194" t="str">
        <f>tblIndiSets!C205</f>
        <v>2.1.2) Access to healthcare</v>
      </c>
      <c r="D13" s="85" t="str">
        <f t="shared" si="1"/>
        <v>2.1.2) Access to healthcare</v>
      </c>
      <c r="F13" s="195">
        <f t="shared" si="2"/>
        <v>0</v>
      </c>
      <c r="G13" s="196"/>
      <c r="L13" s="85">
        <v>1</v>
      </c>
      <c r="M13" s="85">
        <v>0</v>
      </c>
      <c r="N13" s="85">
        <v>1</v>
      </c>
      <c r="O13" s="198">
        <v>0</v>
      </c>
      <c r="P13" s="198">
        <v>0</v>
      </c>
    </row>
    <row r="14" ht="12.75" spans="1:16">
      <c r="A14" s="85">
        <v>12</v>
      </c>
      <c r="C14" s="194" t="str">
        <f>tblIndiSets!C206</f>
        <v>2.1.3) No. of beds per 1000</v>
      </c>
      <c r="D14" s="85" t="str">
        <f t="shared" si="1"/>
        <v>2.1.3) No. of beds per 1000</v>
      </c>
      <c r="F14" s="195">
        <f t="shared" si="2"/>
        <v>0</v>
      </c>
      <c r="G14" s="197"/>
      <c r="L14" s="85">
        <v>1</v>
      </c>
      <c r="M14" s="85">
        <v>0</v>
      </c>
      <c r="N14" s="85">
        <v>1</v>
      </c>
      <c r="O14" s="198">
        <v>0</v>
      </c>
      <c r="P14" s="198">
        <v>0</v>
      </c>
    </row>
    <row r="15" ht="12.75" spans="1:16">
      <c r="A15" s="85">
        <v>13</v>
      </c>
      <c r="C15" s="194" t="str">
        <f>tblIndiSets!C207</f>
        <v>2.1.4) Number of doctors per 1000</v>
      </c>
      <c r="D15" s="85" t="str">
        <f t="shared" si="1"/>
        <v>2.1.4) Number of doctors per 1000</v>
      </c>
      <c r="F15" s="195">
        <f t="shared" si="2"/>
        <v>0</v>
      </c>
      <c r="G15" s="197"/>
      <c r="L15" s="85">
        <v>1</v>
      </c>
      <c r="M15" s="85">
        <v>0</v>
      </c>
      <c r="N15" s="85">
        <v>1</v>
      </c>
      <c r="O15" s="198">
        <v>0</v>
      </c>
      <c r="P15" s="198">
        <v>0</v>
      </c>
    </row>
    <row r="16" ht="12.75" spans="1:16">
      <c r="A16" s="85">
        <v>14</v>
      </c>
      <c r="C16" s="194" t="str">
        <f>tblIndiSets!C208</f>
        <v>2.1.5) Access to safe and quality food</v>
      </c>
      <c r="D16" s="85" t="str">
        <f t="shared" si="1"/>
        <v>2.1.5) Access to safe and quality food</v>
      </c>
      <c r="F16" s="195">
        <f t="shared" si="2"/>
        <v>0</v>
      </c>
      <c r="G16" s="197"/>
      <c r="L16" s="85">
        <v>1</v>
      </c>
      <c r="M16" s="85">
        <v>0</v>
      </c>
      <c r="N16" s="85">
        <v>1</v>
      </c>
      <c r="O16" s="198">
        <v>0</v>
      </c>
      <c r="P16" s="198">
        <v>0</v>
      </c>
    </row>
    <row r="17" ht="12.75" spans="1:16">
      <c r="A17" s="85">
        <v>15</v>
      </c>
      <c r="C17" s="194" t="str">
        <f>tblIndiSets!C209</f>
        <v>2.1.6) Quality of health services</v>
      </c>
      <c r="D17" s="85" t="str">
        <f t="shared" si="1"/>
        <v>2.1.6) Quality of health services</v>
      </c>
      <c r="F17" s="195">
        <f t="shared" si="2"/>
        <v>0</v>
      </c>
      <c r="G17" s="197"/>
      <c r="L17" s="85">
        <v>1</v>
      </c>
      <c r="M17" s="85">
        <v>0</v>
      </c>
      <c r="N17" s="85">
        <v>1</v>
      </c>
      <c r="O17" s="198">
        <v>0</v>
      </c>
      <c r="P17" s="198">
        <v>0</v>
      </c>
    </row>
    <row r="18" ht="12.75" spans="1:16">
      <c r="A18" s="85">
        <v>16</v>
      </c>
      <c r="C18" s="194" t="str">
        <f>tblIndiSets!C210</f>
        <v>2.2.1) Air quality</v>
      </c>
      <c r="D18" s="85" t="str">
        <f t="shared" si="1"/>
        <v>2.2.1) Air quality</v>
      </c>
      <c r="F18" s="195">
        <f t="shared" si="2"/>
        <v>0</v>
      </c>
      <c r="G18" s="197"/>
      <c r="L18" s="85">
        <v>1</v>
      </c>
      <c r="M18" s="85">
        <v>0</v>
      </c>
      <c r="N18" s="85">
        <v>1</v>
      </c>
      <c r="O18" s="198">
        <v>0</v>
      </c>
      <c r="P18" s="198">
        <v>0</v>
      </c>
    </row>
    <row r="19" ht="12.75" spans="1:16">
      <c r="A19" s="85">
        <v>17</v>
      </c>
      <c r="C19" s="194" t="str">
        <f>tblIndiSets!C211</f>
        <v>2.2.2) Water quality</v>
      </c>
      <c r="D19" s="85" t="str">
        <f t="shared" si="1"/>
        <v>2.2.2) Water quality</v>
      </c>
      <c r="F19" s="195">
        <f t="shared" si="2"/>
        <v>0</v>
      </c>
      <c r="G19" s="197"/>
      <c r="L19" s="85">
        <v>1</v>
      </c>
      <c r="M19" s="85">
        <v>0</v>
      </c>
      <c r="N19" s="85">
        <v>1</v>
      </c>
      <c r="O19" s="198">
        <v>0</v>
      </c>
      <c r="P19" s="198">
        <v>0</v>
      </c>
    </row>
    <row r="20" ht="12.75" spans="1:16">
      <c r="A20" s="85">
        <v>18</v>
      </c>
      <c r="C20" s="194" t="str">
        <f>tblIndiSets!C212</f>
        <v>2.2.3) Life expectancy</v>
      </c>
      <c r="D20" s="85" t="str">
        <f t="shared" si="1"/>
        <v>2.2.3) Life expectancy</v>
      </c>
      <c r="F20" s="195">
        <f t="shared" si="2"/>
        <v>0</v>
      </c>
      <c r="G20" s="197"/>
      <c r="L20" s="85">
        <v>1</v>
      </c>
      <c r="M20" s="85">
        <v>0</v>
      </c>
      <c r="N20" s="85">
        <v>1</v>
      </c>
      <c r="O20" s="198">
        <v>0</v>
      </c>
      <c r="P20" s="198">
        <v>0</v>
      </c>
    </row>
    <row r="21" ht="12.75" spans="1:16">
      <c r="A21" s="85">
        <v>19</v>
      </c>
      <c r="C21" s="194" t="str">
        <f>tblIndiSets!C213</f>
        <v>2.2.4) Infant mortality (deaths per 1,000 live births)</v>
      </c>
      <c r="D21" s="85" t="str">
        <f t="shared" si="1"/>
        <v>2.2.4) Infant mortality (deaths per 1,000 live births)</v>
      </c>
      <c r="F21" s="195">
        <f t="shared" si="2"/>
        <v>0</v>
      </c>
      <c r="G21" s="197"/>
      <c r="L21" s="85">
        <v>0</v>
      </c>
      <c r="M21" s="85">
        <v>0</v>
      </c>
      <c r="N21" s="85">
        <v>1</v>
      </c>
      <c r="O21" s="198">
        <v>0</v>
      </c>
      <c r="P21" s="198">
        <v>0</v>
      </c>
    </row>
    <row r="22" ht="12.75" spans="1:16">
      <c r="A22" s="85">
        <v>20</v>
      </c>
      <c r="C22" s="194" t="str">
        <f>tblIndiSets!C214</f>
        <v>2.2.5) Cancer mortality rate ( Cancer deaths per 100,000)</v>
      </c>
      <c r="D22" s="85" t="str">
        <f t="shared" si="1"/>
        <v>2.2.5) Cancer mortality rate ( Cancer deaths per 100,000)</v>
      </c>
      <c r="F22" s="195">
        <f t="shared" si="2"/>
        <v>0</v>
      </c>
      <c r="G22" s="197"/>
      <c r="L22" s="85">
        <v>0</v>
      </c>
      <c r="M22" s="85">
        <v>0</v>
      </c>
      <c r="N22" s="85">
        <v>1</v>
      </c>
      <c r="O22" s="198">
        <v>0</v>
      </c>
      <c r="P22" s="198">
        <v>0</v>
      </c>
    </row>
    <row r="23" ht="12.75" spans="1:16">
      <c r="A23" s="85">
        <v>21</v>
      </c>
      <c r="C23" s="194" t="str">
        <f>tblIndiSets!C215</f>
        <v>3.1.1) Enforcement of transport safety</v>
      </c>
      <c r="D23" s="85" t="str">
        <f t="shared" si="1"/>
        <v>3.1.1) Enforcement of transport safety</v>
      </c>
      <c r="F23" s="195">
        <f t="shared" si="2"/>
        <v>0</v>
      </c>
      <c r="G23" s="197"/>
      <c r="L23" s="85">
        <v>0</v>
      </c>
      <c r="M23" s="85">
        <v>0</v>
      </c>
      <c r="N23" s="85">
        <v>0</v>
      </c>
      <c r="O23" s="198">
        <v>1</v>
      </c>
      <c r="P23" s="198">
        <v>0</v>
      </c>
    </row>
    <row r="24" ht="12.75" spans="1:16">
      <c r="A24" s="85">
        <v>22</v>
      </c>
      <c r="C24" s="194" t="str">
        <f>tblIndiSets!C216</f>
        <v>3.1.2) Pedestrian friendliness</v>
      </c>
      <c r="D24" s="85" t="str">
        <f t="shared" si="1"/>
        <v>3.1.2) Pedestrian friendliness</v>
      </c>
      <c r="F24" s="195">
        <f t="shared" si="2"/>
        <v>0</v>
      </c>
      <c r="G24" s="197"/>
      <c r="L24" s="85">
        <v>0</v>
      </c>
      <c r="M24" s="85">
        <v>0</v>
      </c>
      <c r="N24" s="85">
        <v>0</v>
      </c>
      <c r="O24" s="198">
        <v>1</v>
      </c>
      <c r="P24" s="198">
        <v>0</v>
      </c>
    </row>
    <row r="25" ht="12.75" spans="1:16">
      <c r="A25" s="85">
        <v>23</v>
      </c>
      <c r="C25" s="194" t="str">
        <f>tblIndiSets!C217</f>
        <v>3.1.3) Quality of road infrastructure</v>
      </c>
      <c r="D25" s="85" t="str">
        <f t="shared" si="1"/>
        <v>3.1.3) Quality of road infrastructure</v>
      </c>
      <c r="F25" s="195">
        <f t="shared" si="2"/>
        <v>0</v>
      </c>
      <c r="G25" s="197"/>
      <c r="L25" s="85">
        <v>0</v>
      </c>
      <c r="M25" s="85">
        <v>0</v>
      </c>
      <c r="N25" s="85">
        <v>0</v>
      </c>
      <c r="O25" s="198">
        <v>1</v>
      </c>
      <c r="P25" s="198">
        <v>0</v>
      </c>
    </row>
    <row r="26" ht="12.75" spans="1:16">
      <c r="A26" s="85">
        <v>24</v>
      </c>
      <c r="C26" s="194" t="str">
        <f>tblIndiSets!C218</f>
        <v>3.1.4) Quality of electricity infrastructure</v>
      </c>
      <c r="D26" s="85" t="str">
        <f t="shared" si="1"/>
        <v>3.1.4) Quality of electricity infrastructure</v>
      </c>
      <c r="F26" s="195">
        <f t="shared" si="2"/>
        <v>0</v>
      </c>
      <c r="G26" s="197"/>
      <c r="L26" s="85">
        <v>0</v>
      </c>
      <c r="M26" s="85">
        <v>0</v>
      </c>
      <c r="N26" s="85">
        <v>0</v>
      </c>
      <c r="O26" s="198">
        <v>1</v>
      </c>
      <c r="P26" s="198">
        <v>0</v>
      </c>
    </row>
    <row r="27" ht="12.75" spans="1:16">
      <c r="A27" s="85">
        <v>25</v>
      </c>
      <c r="C27" s="194" t="str">
        <f>tblIndiSets!C219</f>
        <v>3.1.5) Disaster Management/Business Continuity Plan</v>
      </c>
      <c r="D27" s="85" t="str">
        <f t="shared" si="1"/>
        <v>3.1.5) Disaster Management/Business Continuity Plan</v>
      </c>
      <c r="F27" s="195">
        <f t="shared" si="2"/>
        <v>0</v>
      </c>
      <c r="G27" s="197"/>
      <c r="L27" s="85">
        <v>0</v>
      </c>
      <c r="M27" s="85">
        <v>0</v>
      </c>
      <c r="N27" s="85">
        <v>0</v>
      </c>
      <c r="O27" s="198">
        <v>1</v>
      </c>
      <c r="P27" s="198">
        <v>0</v>
      </c>
    </row>
    <row r="28" ht="12.75" spans="1:16">
      <c r="A28" s="85">
        <v>26</v>
      </c>
      <c r="C28" s="194" t="str">
        <f>tblIndiSets!C220</f>
        <v>3.2.1) Death from natural disasters</v>
      </c>
      <c r="D28" s="85" t="str">
        <f t="shared" si="1"/>
        <v>3.2.1) Death from natural disasters</v>
      </c>
      <c r="F28" s="195">
        <f t="shared" si="2"/>
        <v>0</v>
      </c>
      <c r="G28" s="197"/>
      <c r="L28" s="85">
        <v>0</v>
      </c>
      <c r="M28" s="85">
        <v>0</v>
      </c>
      <c r="N28" s="85">
        <v>0</v>
      </c>
      <c r="O28" s="198">
        <v>1</v>
      </c>
      <c r="P28" s="198">
        <v>0</v>
      </c>
    </row>
    <row r="29" ht="12.75" spans="1:16">
      <c r="A29" s="85">
        <v>27</v>
      </c>
      <c r="C29" s="194" t="str">
        <f>tblIndiSets!C221</f>
        <v>3.2.2) Frequency of vehicular accidents</v>
      </c>
      <c r="D29" s="85" t="str">
        <f t="shared" si="1"/>
        <v>3.2.2) Frequency of vehicular accidents</v>
      </c>
      <c r="F29" s="195">
        <f t="shared" si="2"/>
        <v>0</v>
      </c>
      <c r="G29" s="197"/>
      <c r="L29" s="85">
        <v>0</v>
      </c>
      <c r="M29" s="85">
        <v>0</v>
      </c>
      <c r="N29" s="85">
        <v>0</v>
      </c>
      <c r="O29" s="198">
        <v>1</v>
      </c>
      <c r="P29" s="198">
        <v>0</v>
      </c>
    </row>
    <row r="30" ht="12.75" spans="1:16">
      <c r="A30" s="85">
        <v>28</v>
      </c>
      <c r="C30" s="194" t="str">
        <f>tblIndiSets!C222</f>
        <v>3.2.3) Frequency of pedestrian deaths</v>
      </c>
      <c r="D30" s="85" t="str">
        <f t="shared" si="1"/>
        <v>3.2.3) Frequency of pedestrian deaths</v>
      </c>
      <c r="F30" s="195">
        <f t="shared" si="2"/>
        <v>0</v>
      </c>
      <c r="G30" s="197"/>
      <c r="L30" s="85">
        <v>0</v>
      </c>
      <c r="M30" s="85">
        <v>0</v>
      </c>
      <c r="N30" s="85">
        <v>0</v>
      </c>
      <c r="O30" s="198">
        <v>1</v>
      </c>
      <c r="P30" s="198">
        <v>0</v>
      </c>
    </row>
    <row r="31" ht="12.75" spans="1:16">
      <c r="A31" s="85">
        <v>29</v>
      </c>
      <c r="C31" s="194" t="str">
        <f>tblIndiSets!C223</f>
        <v>3.2.4) Percent living in urban slums</v>
      </c>
      <c r="D31" s="85" t="str">
        <f t="shared" si="1"/>
        <v>3.2.4) Percent living in urban slums</v>
      </c>
      <c r="F31" s="195">
        <f t="shared" si="2"/>
        <v>0</v>
      </c>
      <c r="G31" s="197"/>
      <c r="L31" s="85">
        <v>0</v>
      </c>
      <c r="M31" s="85">
        <v>0</v>
      </c>
      <c r="N31" s="85">
        <v>0</v>
      </c>
      <c r="O31" s="198">
        <v>1</v>
      </c>
      <c r="P31" s="198">
        <v>0</v>
      </c>
    </row>
    <row r="32" ht="12.75" spans="1:16">
      <c r="A32" s="85">
        <v>30</v>
      </c>
      <c r="C32" s="194" t="str">
        <f>tblIndiSets!C224</f>
        <v>4.1.1) Level of police engagement</v>
      </c>
      <c r="D32" s="85" t="str">
        <f t="shared" si="1"/>
        <v>4.1.1) Level of police engagement</v>
      </c>
      <c r="F32" s="195">
        <f t="shared" si="2"/>
        <v>0</v>
      </c>
      <c r="G32" s="197"/>
      <c r="L32" s="85">
        <v>0</v>
      </c>
      <c r="M32" s="85">
        <v>0</v>
      </c>
      <c r="N32" s="85">
        <v>0</v>
      </c>
      <c r="O32" s="198">
        <v>0</v>
      </c>
      <c r="P32" s="198">
        <v>1</v>
      </c>
    </row>
    <row r="33" ht="12.75" spans="1:16">
      <c r="A33" s="85">
        <v>31</v>
      </c>
      <c r="C33" s="194" t="str">
        <f>tblIndiSets!C225</f>
        <v>4.1.2) Community-based patrolling</v>
      </c>
      <c r="D33" s="85" t="str">
        <f t="shared" si="1"/>
        <v>4.1.2) Community-based patrolling</v>
      </c>
      <c r="F33" s="195">
        <f t="shared" si="2"/>
        <v>0</v>
      </c>
      <c r="G33" s="197"/>
      <c r="L33" s="85">
        <v>0</v>
      </c>
      <c r="M33" s="85">
        <v>0</v>
      </c>
      <c r="N33" s="85">
        <v>0</v>
      </c>
      <c r="O33" s="198">
        <v>0</v>
      </c>
      <c r="P33" s="198">
        <v>1</v>
      </c>
    </row>
    <row r="34" ht="12.75" spans="1:16">
      <c r="A34" s="85">
        <v>32</v>
      </c>
      <c r="C34" s="194" t="str">
        <f>tblIndiSets!C226</f>
        <v>4.1.3) Availability of street-level crime data</v>
      </c>
      <c r="D34" s="85" t="str">
        <f t="shared" si="1"/>
        <v>4.1.3) Availability of street-level crime data</v>
      </c>
      <c r="F34" s="195">
        <f t="shared" si="2"/>
        <v>0</v>
      </c>
      <c r="G34" s="197"/>
      <c r="L34" s="85">
        <v>0</v>
      </c>
      <c r="M34" s="85">
        <v>0</v>
      </c>
      <c r="N34" s="85">
        <v>0</v>
      </c>
      <c r="O34" s="198">
        <v>0</v>
      </c>
      <c r="P34" s="198">
        <v>1</v>
      </c>
    </row>
    <row r="35" ht="12.75" spans="1:16">
      <c r="A35" s="85">
        <v>33</v>
      </c>
      <c r="C35" s="194" t="str">
        <f>tblIndiSets!C227</f>
        <v>4.1.4) Use of data-driven techniques for crime</v>
      </c>
      <c r="D35" s="85" t="str">
        <f t="shared" si="1"/>
        <v>4.1.4) Use of data-driven techniques for crime</v>
      </c>
      <c r="F35" s="195">
        <f t="shared" si="2"/>
        <v>0</v>
      </c>
      <c r="G35" s="197"/>
      <c r="L35" s="85">
        <v>0</v>
      </c>
      <c r="M35" s="85">
        <v>0</v>
      </c>
      <c r="N35" s="85">
        <v>0</v>
      </c>
      <c r="O35" s="198">
        <v>0</v>
      </c>
      <c r="P35" s="198">
        <v>1</v>
      </c>
    </row>
    <row r="36" ht="12.75" spans="1:16">
      <c r="A36" s="85">
        <v>34</v>
      </c>
      <c r="C36" s="194" t="str">
        <f>tblIndiSets!C228</f>
        <v>4.1.5) Private security measures</v>
      </c>
      <c r="D36" s="85" t="str">
        <f t="shared" si="1"/>
        <v>4.1.5) Private security measures</v>
      </c>
      <c r="F36" s="195">
        <f t="shared" si="2"/>
        <v>0</v>
      </c>
      <c r="G36" s="197"/>
      <c r="L36" s="85">
        <v>0</v>
      </c>
      <c r="M36" s="85">
        <v>0</v>
      </c>
      <c r="N36" s="85">
        <v>0</v>
      </c>
      <c r="O36" s="198">
        <v>0</v>
      </c>
      <c r="P36" s="198">
        <v>1</v>
      </c>
    </row>
    <row r="37" ht="12.75" spans="1:16">
      <c r="A37" s="85">
        <v>35</v>
      </c>
      <c r="C37" s="194" t="str">
        <f>tblIndiSets!C229</f>
        <v>4.1.6) Gun regulation and enforcement</v>
      </c>
      <c r="D37" s="85" t="str">
        <f t="shared" si="1"/>
        <v>4.1.6) Gun regulation and enforcement</v>
      </c>
      <c r="F37" s="195">
        <f t="shared" si="2"/>
        <v>0</v>
      </c>
      <c r="G37" s="197"/>
      <c r="L37" s="85">
        <v>0</v>
      </c>
      <c r="M37" s="85">
        <v>0</v>
      </c>
      <c r="N37" s="85">
        <v>0</v>
      </c>
      <c r="O37" s="198">
        <v>0</v>
      </c>
      <c r="P37" s="198">
        <v>1</v>
      </c>
    </row>
    <row r="38" ht="12.75" spans="1:16">
      <c r="A38" s="85">
        <v>36</v>
      </c>
      <c r="C38" s="194" t="str">
        <f>tblIndiSets!C230</f>
        <v>4.1.7) Political Stability Risk</v>
      </c>
      <c r="D38" s="85" t="str">
        <f t="shared" si="1"/>
        <v>4.1.7) Political Stability Risk</v>
      </c>
      <c r="F38" s="195">
        <f t="shared" si="2"/>
        <v>0</v>
      </c>
      <c r="G38" s="197"/>
      <c r="L38" s="85">
        <v>0</v>
      </c>
      <c r="M38" s="85">
        <v>0</v>
      </c>
      <c r="N38" s="85">
        <v>0</v>
      </c>
      <c r="O38" s="198">
        <v>0</v>
      </c>
      <c r="P38" s="198">
        <v>1</v>
      </c>
    </row>
    <row r="39" ht="12.75" spans="1:16">
      <c r="A39" s="85">
        <v>37</v>
      </c>
      <c r="C39" s="194" t="str">
        <f>tblIndiSets!C231</f>
        <v>4.2.1) Prevalence of petty crime</v>
      </c>
      <c r="D39" s="85" t="str">
        <f t="shared" si="1"/>
        <v>4.2.1) Prevalence of petty crime</v>
      </c>
      <c r="F39" s="195">
        <f t="shared" si="2"/>
        <v>0</v>
      </c>
      <c r="G39" s="197"/>
      <c r="L39" s="85">
        <v>0</v>
      </c>
      <c r="M39" s="85">
        <v>0</v>
      </c>
      <c r="N39" s="85">
        <v>0</v>
      </c>
      <c r="O39" s="198">
        <v>0</v>
      </c>
      <c r="P39" s="198">
        <v>1</v>
      </c>
    </row>
    <row r="40" ht="12.75" spans="1:16">
      <c r="A40" s="85">
        <v>38</v>
      </c>
      <c r="C40" s="194" t="str">
        <f>tblIndiSets!C232</f>
        <v>4.2.2) Prevalence of violence crime</v>
      </c>
      <c r="D40" s="85" t="str">
        <f t="shared" si="1"/>
        <v>4.2.2) Prevalence of violence crime</v>
      </c>
      <c r="F40" s="195">
        <f t="shared" si="2"/>
        <v>0</v>
      </c>
      <c r="G40" s="197"/>
      <c r="L40" s="85">
        <v>0</v>
      </c>
      <c r="M40" s="85">
        <v>0</v>
      </c>
      <c r="N40" s="85">
        <v>0</v>
      </c>
      <c r="O40" s="198">
        <v>0</v>
      </c>
      <c r="P40" s="198">
        <v>1</v>
      </c>
    </row>
    <row r="41" ht="12.75" spans="1:16">
      <c r="A41" s="85">
        <v>39</v>
      </c>
      <c r="C41" s="194" t="str">
        <f>tblIndiSets!C233</f>
        <v>4.2.3) Criminal gang activity</v>
      </c>
      <c r="D41" s="85" t="str">
        <f t="shared" si="1"/>
        <v>4.2.3) Criminal gang activity</v>
      </c>
      <c r="F41" s="195">
        <f t="shared" si="2"/>
        <v>0</v>
      </c>
      <c r="G41" s="197"/>
      <c r="L41" s="85">
        <v>0</v>
      </c>
      <c r="M41" s="85">
        <v>0</v>
      </c>
      <c r="N41" s="85">
        <v>0</v>
      </c>
      <c r="O41" s="198">
        <v>0</v>
      </c>
      <c r="P41" s="198">
        <v>1</v>
      </c>
    </row>
    <row r="42" ht="12.75" spans="1:16">
      <c r="A42" s="85">
        <v>40</v>
      </c>
      <c r="C42" s="194" t="str">
        <f>tblIndiSets!C234</f>
        <v>4.2.4) Level of corruption in police force</v>
      </c>
      <c r="D42" s="85" t="str">
        <f t="shared" si="1"/>
        <v>4.2.4) Level of corruption in police force</v>
      </c>
      <c r="F42" s="195">
        <f t="shared" si="2"/>
        <v>0</v>
      </c>
      <c r="G42" s="197"/>
      <c r="L42" s="85">
        <v>0</v>
      </c>
      <c r="M42" s="85">
        <v>0</v>
      </c>
      <c r="N42" s="85">
        <v>0</v>
      </c>
      <c r="O42" s="198">
        <v>0</v>
      </c>
      <c r="P42" s="198">
        <v>1</v>
      </c>
    </row>
    <row r="43" ht="12.75" spans="1:16">
      <c r="A43" s="85">
        <v>41</v>
      </c>
      <c r="C43" s="194" t="str">
        <f>tblIndiSets!C235</f>
        <v>4.2.5) Rate of drug use</v>
      </c>
      <c r="D43" s="85" t="str">
        <f t="shared" si="1"/>
        <v>4.2.5) Rate of drug use</v>
      </c>
      <c r="F43" s="195">
        <f t="shared" si="2"/>
        <v>0</v>
      </c>
      <c r="G43" s="197"/>
      <c r="L43" s="85">
        <v>0</v>
      </c>
      <c r="M43" s="85">
        <v>0</v>
      </c>
      <c r="N43" s="85">
        <v>0</v>
      </c>
      <c r="O43" s="198">
        <v>0</v>
      </c>
      <c r="P43" s="198">
        <v>1</v>
      </c>
    </row>
    <row r="44" ht="12.75" spans="1:16">
      <c r="A44" s="85">
        <v>42</v>
      </c>
      <c r="C44" s="194" t="str">
        <f>tblIndiSets!C236</f>
        <v>4.2.6) Frequency of terrorist attacks</v>
      </c>
      <c r="D44" s="85" t="str">
        <f t="shared" si="1"/>
        <v>4.2.6) Frequency of terrorist attacks</v>
      </c>
      <c r="F44" s="195">
        <f t="shared" si="2"/>
        <v>0</v>
      </c>
      <c r="G44" s="197"/>
      <c r="L44" s="85">
        <v>0</v>
      </c>
      <c r="M44" s="85">
        <v>0</v>
      </c>
      <c r="N44" s="85">
        <v>0</v>
      </c>
      <c r="O44" s="198">
        <v>0</v>
      </c>
      <c r="P44" s="198">
        <v>1</v>
      </c>
    </row>
    <row r="45" ht="12.75" spans="1:16">
      <c r="A45" s="85">
        <v>43</v>
      </c>
      <c r="C45" s="194" t="str">
        <f>tblIndiSets!C237</f>
        <v>4.2.7) Gender safety</v>
      </c>
      <c r="D45" s="85" t="str">
        <f t="shared" si="1"/>
        <v>4.2.7) Gender safety</v>
      </c>
      <c r="F45" s="195">
        <f t="shared" si="2"/>
        <v>0</v>
      </c>
      <c r="G45" s="197"/>
      <c r="L45" s="85">
        <v>0</v>
      </c>
      <c r="M45" s="85">
        <v>0</v>
      </c>
      <c r="N45" s="85">
        <v>0</v>
      </c>
      <c r="O45" s="198">
        <v>0</v>
      </c>
      <c r="P45" s="198">
        <v>1</v>
      </c>
    </row>
    <row r="46" ht="12.75" spans="1:16">
      <c r="A46" s="85">
        <v>44</v>
      </c>
      <c r="C46" s="194" t="str">
        <f>tblIndiSets!C238</f>
        <v>4.2.8) Perceptions of safety</v>
      </c>
      <c r="D46" s="85" t="str">
        <f t="shared" si="1"/>
        <v>4.2.8) Perceptions of safety</v>
      </c>
      <c r="F46" s="195">
        <f t="shared" si="2"/>
        <v>0</v>
      </c>
      <c r="G46" s="197"/>
      <c r="L46" s="85">
        <v>0</v>
      </c>
      <c r="M46" s="85">
        <v>0</v>
      </c>
      <c r="N46" s="85">
        <v>0</v>
      </c>
      <c r="O46" s="198">
        <v>0</v>
      </c>
      <c r="P46" s="198">
        <v>1</v>
      </c>
    </row>
    <row r="47" ht="12.75" spans="3:16">
      <c r="C47" s="194"/>
      <c r="F47" s="195"/>
      <c r="G47" s="197"/>
      <c r="O47" s="198"/>
      <c r="P47" s="198"/>
    </row>
    <row r="48" ht="12.75" spans="3:16">
      <c r="C48" s="194"/>
      <c r="F48" s="195"/>
      <c r="G48" s="197"/>
      <c r="O48" s="198"/>
      <c r="P48" s="198"/>
    </row>
    <row r="49" ht="12.75" spans="3:16">
      <c r="C49" s="194"/>
      <c r="F49" s="195"/>
      <c r="G49" s="197"/>
      <c r="O49" s="198"/>
      <c r="P49" s="198"/>
    </row>
    <row r="50" ht="12.75" spans="3:16">
      <c r="C50" s="194"/>
      <c r="F50" s="195"/>
      <c r="G50" s="197"/>
      <c r="O50" s="198"/>
      <c r="P50" s="198"/>
    </row>
    <row r="51" ht="12.75" spans="3:16">
      <c r="C51" s="194"/>
      <c r="F51" s="195"/>
      <c r="G51" s="197"/>
      <c r="O51" s="198"/>
      <c r="P51" s="198"/>
    </row>
    <row r="52" ht="12.75" spans="3:16">
      <c r="C52" s="194"/>
      <c r="F52" s="195"/>
      <c r="G52" s="197"/>
      <c r="O52" s="198"/>
      <c r="P52" s="198"/>
    </row>
    <row r="53" ht="12.75" spans="3:7">
      <c r="C53" s="194"/>
      <c r="F53" s="195"/>
      <c r="G53" s="197"/>
    </row>
    <row r="54" ht="12.75" spans="3:7">
      <c r="C54" s="194"/>
      <c r="F54" s="195"/>
      <c r="G54" s="197"/>
    </row>
    <row r="55" ht="12.75" spans="3:7">
      <c r="C55" s="194"/>
      <c r="F55" s="195"/>
      <c r="G55" s="197"/>
    </row>
    <row r="56" ht="12.75" spans="3:7">
      <c r="C56" s="194"/>
      <c r="F56" s="195"/>
      <c r="G56" s="197"/>
    </row>
    <row r="57" ht="12.75" spans="3:7">
      <c r="C57" s="194"/>
      <c r="F57" s="195"/>
      <c r="G57" s="197"/>
    </row>
    <row r="58" ht="12.75" spans="3:7">
      <c r="C58" s="194"/>
      <c r="F58" s="195"/>
      <c r="G58" s="197"/>
    </row>
    <row r="59" ht="12.75" spans="3:7">
      <c r="C59" s="194"/>
      <c r="F59" s="195"/>
      <c r="G59" s="197"/>
    </row>
    <row r="60" ht="12.75" spans="3:7">
      <c r="C60" s="194"/>
      <c r="F60" s="195"/>
      <c r="G60" s="197"/>
    </row>
    <row r="61" ht="12.75" spans="3:7">
      <c r="C61" s="194"/>
      <c r="F61" s="195"/>
      <c r="G61" s="197"/>
    </row>
    <row r="62" ht="12.75" spans="3:7">
      <c r="C62" s="194"/>
      <c r="F62" s="195"/>
      <c r="G62" s="197"/>
    </row>
    <row r="63" ht="12.75" spans="3:7">
      <c r="C63" s="194"/>
      <c r="F63" s="195"/>
      <c r="G63" s="197"/>
    </row>
    <row r="64" ht="12.75" spans="3:7">
      <c r="C64" s="194"/>
      <c r="F64" s="195"/>
      <c r="G64" s="197"/>
    </row>
    <row r="65" ht="12.75" spans="3:7">
      <c r="C65" s="194"/>
      <c r="F65" s="195"/>
      <c r="G65" s="197"/>
    </row>
    <row r="66" ht="12.75" spans="3:7">
      <c r="C66" s="194"/>
      <c r="F66" s="195"/>
      <c r="G66" s="197"/>
    </row>
    <row r="67" ht="12.75" spans="3:7">
      <c r="C67" s="194"/>
      <c r="F67" s="195"/>
      <c r="G67" s="197"/>
    </row>
    <row r="68" ht="12.75" spans="3:7">
      <c r="C68" s="194"/>
      <c r="F68" s="195"/>
      <c r="G68" s="197"/>
    </row>
    <row r="69" ht="12.75" spans="3:7">
      <c r="C69" s="194"/>
      <c r="F69" s="195"/>
      <c r="G69" s="197"/>
    </row>
    <row r="70" ht="12.75" spans="3:7">
      <c r="C70" s="194"/>
      <c r="F70" s="195"/>
      <c r="G70" s="197"/>
    </row>
    <row r="71" ht="12.75" spans="3:7">
      <c r="C71" s="194"/>
      <c r="F71" s="195"/>
      <c r="G71" s="197"/>
    </row>
    <row r="72" ht="12.75" spans="3:7">
      <c r="C72" s="194"/>
      <c r="F72" s="195"/>
      <c r="G72" s="197"/>
    </row>
    <row r="73" ht="12.75" spans="3:7">
      <c r="C73" s="194"/>
      <c r="F73" s="195"/>
      <c r="G73" s="197"/>
    </row>
    <row r="74" ht="12.75" spans="3:7">
      <c r="C74" s="194"/>
      <c r="F74" s="195"/>
      <c r="G74" s="197"/>
    </row>
    <row r="75" ht="12.75" spans="3:7">
      <c r="C75" s="194"/>
      <c r="F75" s="195"/>
      <c r="G75" s="197"/>
    </row>
    <row r="76" ht="12.75" spans="3:7">
      <c r="C76" s="194"/>
      <c r="F76" s="195"/>
      <c r="G76" s="197"/>
    </row>
    <row r="77" ht="12.75" spans="3:7">
      <c r="C77" s="194"/>
      <c r="F77" s="195"/>
      <c r="G77" s="197"/>
    </row>
    <row r="78" ht="12.75" spans="3:7">
      <c r="C78" s="194"/>
      <c r="F78" s="195"/>
      <c r="G78" s="197"/>
    </row>
    <row r="79" ht="12.75" spans="3:7">
      <c r="C79" s="194"/>
      <c r="F79" s="195"/>
      <c r="G79" s="197"/>
    </row>
    <row r="80" ht="13.5" spans="3:7">
      <c r="C80" s="194"/>
      <c r="F80" s="195"/>
      <c r="G80" s="199"/>
    </row>
    <row r="81" ht="12.75" spans="3:6">
      <c r="C81" s="194"/>
      <c r="F81" s="195"/>
    </row>
    <row r="82" ht="12.75" spans="3:6">
      <c r="C82" s="194"/>
      <c r="F82" s="195"/>
    </row>
    <row r="83" ht="12.75" spans="3:6">
      <c r="C83" s="194"/>
      <c r="F83" s="195"/>
    </row>
  </sheetData>
  <sheetProtection selectLockedCells="1" selectUnlockedCell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FFC000"/>
  </sheetPr>
  <dimension ref="A1:AR64"/>
  <sheetViews>
    <sheetView workbookViewId="0">
      <selection activeCell="A1" sqref="A1"/>
    </sheetView>
  </sheetViews>
  <sheetFormatPr defaultColWidth="9" defaultRowHeight="11.25"/>
  <cols>
    <col min="1" max="1" width="9.14285714285714" style="24"/>
    <col min="2" max="2" width="15.8571428571429" style="24" customWidth="1"/>
    <col min="3" max="3" width="9.57142857142857" style="24" customWidth="1"/>
    <col min="4" max="8" width="9.14285714285714" style="24"/>
    <col min="9" max="9" width="6.42857142857143" style="24" customWidth="1"/>
    <col min="10" max="10" width="4.42857142857143" style="24" customWidth="1"/>
    <col min="11" max="12" width="9.14285714285714" style="24"/>
    <col min="13" max="13" width="8.57142857142857" style="24" customWidth="1"/>
    <col min="14" max="16" width="9.14285714285714" style="24"/>
    <col min="17" max="17" width="9.14285714285714" style="14"/>
    <col min="18" max="27" width="9.14285714285714" style="24"/>
    <col min="28" max="28" width="12.2857142857143" style="24" customWidth="1"/>
    <col min="29" max="29" width="4" style="24" customWidth="1"/>
    <col min="30" max="30" width="8.14285714285714" style="24" customWidth="1"/>
    <col min="31" max="31" width="5.85714285714286" style="24" customWidth="1"/>
    <col min="32" max="34" width="4" style="24" customWidth="1"/>
    <col min="35" max="35" width="4.85714285714286" style="24" customWidth="1"/>
    <col min="36" max="36" width="4" style="24" customWidth="1"/>
    <col min="37" max="37" width="7.14285714285714" style="24" customWidth="1"/>
    <col min="38" max="38" width="4" style="24" customWidth="1"/>
    <col min="39" max="39" width="5.28571428571429" style="24" customWidth="1"/>
    <col min="40" max="40" width="4" style="24" customWidth="1"/>
    <col min="41" max="41" width="6.85714285714286" style="24" customWidth="1"/>
    <col min="42" max="44" width="4" style="24" customWidth="1"/>
    <col min="45" max="16384" width="9.14285714285714" style="24"/>
  </cols>
  <sheetData>
    <row r="1" spans="3:30">
      <c r="C1" s="24" t="str">
        <f>tblIndicators!B1</f>
        <v>IndiCode</v>
      </c>
      <c r="D1" s="24" t="str">
        <f>tblIndicators!C1</f>
        <v>IndiParent</v>
      </c>
      <c r="E1" s="24" t="str">
        <f>tblIndicators!D1</f>
        <v>Depth</v>
      </c>
      <c r="F1" s="24" t="str">
        <f>tblIndicators!E1</f>
        <v>IsRef</v>
      </c>
      <c r="G1" s="24" t="str">
        <f>tblIndicators!F1</f>
        <v>IndiRef</v>
      </c>
      <c r="H1" s="24" t="str">
        <f>tblIndicators!G1</f>
        <v>Indicator/subindicator</v>
      </c>
      <c r="I1" s="24" t="str">
        <f>tblIndicators!H1</f>
        <v>Categories/indicators/sub-indicators</v>
      </c>
      <c r="J1" s="24" t="str">
        <f>tblIndicators!I1</f>
        <v>Description/why is it included?</v>
      </c>
      <c r="K1" s="24" t="str">
        <f>tblIndicators!J1</f>
        <v>Definition/units</v>
      </c>
      <c r="L1" s="24">
        <f>tblIndicators!K1</f>
        <v>0</v>
      </c>
      <c r="M1" s="24" t="str">
        <f>tblIndicators!L1</f>
        <v>Source(s)</v>
      </c>
      <c r="N1" s="24" t="str">
        <f>tblIndicators!M1</f>
        <v>Score_System, 1 = weighted sum of scores, 2 = norm based on actual max/min, 3 = norm based on fixed max/min</v>
      </c>
      <c r="O1" s="24" t="str">
        <f>tblIndicators!N1</f>
        <v>Score_Param1 (0=High Is Good)</v>
      </c>
      <c r="P1" s="24" t="str">
        <f>tblIndicators!O1</f>
        <v>Score_Param2</v>
      </c>
      <c r="Q1" s="24" t="str">
        <f>tblIndicators!P1</f>
        <v>Score_Param3</v>
      </c>
      <c r="R1" s="24" t="str">
        <f>tblIndicators!Q1</f>
        <v>Min</v>
      </c>
      <c r="S1" s="24" t="str">
        <f>tblIndicators!R1</f>
        <v>Max</v>
      </c>
      <c r="T1" s="24" t="str">
        <f>tblIndicators!S1</f>
        <v>Default_Weight</v>
      </c>
      <c r="U1" s="24" t="str">
        <f>tblIndicators!T1</f>
        <v>DP</v>
      </c>
      <c r="V1" s="24" t="str">
        <f>tblIndicators!U1</f>
        <v>Spare#1</v>
      </c>
      <c r="W1" s="24" t="str">
        <f>tblIndicators!V1</f>
        <v>Spare#2</v>
      </c>
      <c r="X1" s="24" t="str">
        <f>tblIndicators!W1</f>
        <v>Spare#3</v>
      </c>
      <c r="Y1" s="24" t="str">
        <f>tblIndicators!X1</f>
        <v>Notes</v>
      </c>
      <c r="Z1" s="24">
        <f>tblIndicators!Y1</f>
        <v>0</v>
      </c>
      <c r="AA1" s="24" t="str">
        <f>tblIndicators!Z1</f>
        <v>INDENT_DESC</v>
      </c>
      <c r="AB1" s="24" t="str">
        <f>tblIndicators!AA1</f>
        <v>NUMFORMAT</v>
      </c>
      <c r="AC1" s="24" t="str">
        <f>tblIndicators!AB1</f>
        <v>Active_Weight_Nom</v>
      </c>
      <c r="AD1" s="24" t="str">
        <f>tblIndicators!AC1</f>
        <v>Active_Weight</v>
      </c>
    </row>
    <row r="2" spans="1:30">
      <c r="A2" s="24" t="s">
        <v>388</v>
      </c>
      <c r="B2" s="24">
        <f>uxbWorks!B28</f>
        <v>49</v>
      </c>
      <c r="C2" s="24" t="str">
        <f>INDEX(tblIndicators!B$2:B$58,$B$2)</f>
        <v>PERSAF_OP</v>
      </c>
      <c r="D2" s="24" t="str">
        <f>INDEX(tblIndicators!C$2:C$58,$B$2)</f>
        <v>PERSAF</v>
      </c>
      <c r="E2" s="24">
        <f>INDEX(tblIndicators!D$2:D$58,$B$2)</f>
        <v>2</v>
      </c>
      <c r="F2" s="24">
        <f>INDEX(tblIndicators!E$2:E$58,$B$2)</f>
        <v>0</v>
      </c>
      <c r="G2" s="24" t="str">
        <f>INDEX(tblIndicators!F$2:F$58,$B$2)</f>
        <v>4.2</v>
      </c>
      <c r="H2" s="24" t="str">
        <f>INDEX(tblIndicators!G$2:G$58,$B$2)</f>
        <v>Sub Category</v>
      </c>
      <c r="I2" s="24" t="str">
        <f>INDEX(tblIndicators!H$2:H$58,$B$2)</f>
        <v>Personal Safety (Outputs)</v>
      </c>
      <c r="J2" s="24" t="str">
        <f>INDEX(tblIndicators!I$2:I$58,$B$2)</f>
        <v>Sub-category index score, weighted sum of the 9 indicator scores.
1) Prevalence of petty crime
2) Prevalence of violence crime
3) Criminal gang activity
4) Level of corruption in police force
5) Rate of drug use
6) Frequency of terrorist attacks
7) Gender safety
8) Perceptions of safety</v>
      </c>
      <c r="K2" s="24" t="str">
        <f>INDEX(tblIndicators!J$2:J$58,$B$2)</f>
        <v>Weighted sum of underlying indicator scores;</v>
      </c>
      <c r="L2" s="24">
        <f>INDEX(tblIndicators!K$2:K$58,$B$2)</f>
        <v>0</v>
      </c>
      <c r="M2" s="24" t="str">
        <f>IF(B11=1,"HIGHLIGHT CITY TO VIEW SOURCE",IF(INDEX(iSource!M9:BJ65,iRankIndi!B2,iRankIndi!B11-1)="","No Source Noted",INDEX(iSource!M9:BJ65,iRankIndi!B2,iRankIndi!B11-1)))</f>
        <v>EIU Calculation</v>
      </c>
      <c r="N2" s="24">
        <f>INDEX(tblIndicators!M$2:M$58,$B$2)</f>
        <v>1</v>
      </c>
      <c r="O2" s="24">
        <f>INDEX(tblIndicators!N$2:N$58,$B$2)</f>
        <v>0</v>
      </c>
      <c r="P2" s="24">
        <f>INDEX(tblIndicators!O$2:O$58,$B$2)</f>
        <v>0</v>
      </c>
      <c r="Q2" s="24">
        <f>INDEX(tblIndicators!P$2:P$58,$B$2)</f>
        <v>0</v>
      </c>
      <c r="R2" s="24">
        <f>INDEX(tblIndicators!Q$2:Q$58,$B$2)</f>
        <v>0</v>
      </c>
      <c r="S2" s="24">
        <f>INDEX(tblIndicators!R$2:R$58,$B$2)</f>
        <v>0</v>
      </c>
      <c r="T2" s="24">
        <f>INDEX(tblIndicators!S$2:S$58,$B$2)</f>
        <v>0</v>
      </c>
      <c r="U2" s="24">
        <f>INDEX(tblIndicators!T$2:T$58,$B$2)</f>
        <v>1</v>
      </c>
      <c r="V2" s="24">
        <f>INDEX(tblIndicators!U$2:U$58,$B$2)</f>
        <v>0</v>
      </c>
      <c r="W2" s="24">
        <f>INDEX(tblIndicators!V$2:V$58,$B$2)</f>
        <v>0</v>
      </c>
      <c r="X2" s="24">
        <f>INDEX(tblIndicators!W$2:W$58,$B$2)</f>
        <v>0</v>
      </c>
      <c r="Y2" s="24">
        <f>INDEX(tblIndicators!X$2:X$58,$B$2)</f>
        <v>0</v>
      </c>
      <c r="Z2" s="24">
        <f>INDEX(tblIndicators!Y$2:Y$58,$B$2)</f>
        <v>0</v>
      </c>
      <c r="AA2" s="24" t="str">
        <f>INDEX(tblIndicators!Z$2:Z$58,$B$2)</f>
        <v>4.2) Personal Safety (Outputs)</v>
      </c>
      <c r="AB2" s="24" t="str">
        <f>INDEX(tblIndicators!AA$2:AA$58,$B$2)</f>
        <v>#,0.0</v>
      </c>
      <c r="AC2" s="24">
        <f>INDEX(tblIndicators!AB$2:AB$58,$B$2)</f>
        <v>1</v>
      </c>
      <c r="AD2" s="24">
        <f>INDEX(tblIndicators!AC$2:AC$58,$B$2)</f>
        <v>0.5</v>
      </c>
    </row>
    <row r="3" spans="1:38">
      <c r="A3" s="24" t="s">
        <v>386</v>
      </c>
      <c r="B3" s="24">
        <f>uxbWorks!B15</f>
        <v>38</v>
      </c>
      <c r="W3" s="24" t="s">
        <v>389</v>
      </c>
      <c r="X3" s="24">
        <v>0</v>
      </c>
      <c r="AH3" s="188" t="e">
        <f>QUARTILE($T$15:$T$33,4)</f>
        <v>#NUM!</v>
      </c>
      <c r="AI3" s="188" t="e">
        <f>QUARTILE($T$15:$T$33,3)</f>
        <v>#NUM!</v>
      </c>
      <c r="AJ3" s="188" t="e">
        <f>QUARTILE($T$15:$T$33,2)</f>
        <v>#NUM!</v>
      </c>
      <c r="AK3" s="188" t="e">
        <f>QUARTILE($T$15:$T$33,1)</f>
        <v>#NUM!</v>
      </c>
      <c r="AL3" s="188" t="e">
        <f>QUARTILE($T$15:$T$33,0)</f>
        <v>#NUM!</v>
      </c>
    </row>
    <row r="4" spans="1:38">
      <c r="A4" s="24" t="s">
        <v>390</v>
      </c>
      <c r="B4" s="24" t="str">
        <f>IF(OR(AND(uxbWorks!E9=1,E2=1),AND(uxbWorks!E9=1,E2=0)),IF(uxbWorks!B9,"Ratio Output/Input","Score / 100"),"Score / 100")</f>
        <v>Score / 100</v>
      </c>
      <c r="AH4" s="188"/>
      <c r="AI4" s="188"/>
      <c r="AJ4" s="188"/>
      <c r="AK4" s="188"/>
      <c r="AL4" s="188"/>
    </row>
    <row r="5" spans="2:38">
      <c r="B5" s="24" t="str">
        <f>AA2</f>
        <v>4.2) Personal Safety (Outputs)</v>
      </c>
      <c r="AH5" s="188"/>
      <c r="AI5" s="188"/>
      <c r="AJ5" s="188"/>
      <c r="AK5" s="188"/>
      <c r="AL5" s="188"/>
    </row>
    <row r="6" spans="2:38">
      <c r="B6" s="24" t="str">
        <f>K2</f>
        <v>Weighted sum of underlying indicator scores;</v>
      </c>
      <c r="AH6" s="188"/>
      <c r="AI6" s="188"/>
      <c r="AJ6" s="188"/>
      <c r="AK6" s="188"/>
      <c r="AL6" s="188"/>
    </row>
    <row r="7" spans="2:38">
      <c r="B7" s="24" t="str">
        <f>K2</f>
        <v>Weighted sum of underlying indicator scores;</v>
      </c>
      <c r="AH7" s="188"/>
      <c r="AI7" s="188"/>
      <c r="AJ7" s="188"/>
      <c r="AK7" s="188"/>
      <c r="AL7" s="188"/>
    </row>
    <row r="8" spans="1:38">
      <c r="A8" s="24" t="s">
        <v>391</v>
      </c>
      <c r="B8" s="182" t="str">
        <f>M2</f>
        <v>EIU Calculation</v>
      </c>
      <c r="AH8" s="188"/>
      <c r="AI8" s="188"/>
      <c r="AJ8" s="188"/>
      <c r="AK8" s="188"/>
      <c r="AL8" s="188"/>
    </row>
    <row r="9" spans="2:38">
      <c r="B9" s="24" t="str">
        <f>J2</f>
        <v>Sub-category index score, weighted sum of the 9 indicator scores.
1) Prevalence of petty crime
2) Prevalence of violence crime
3) Criminal gang activity
4) Level of corruption in police force
5) Rate of drug use
6) Frequency of terrorist attacks
7) Gender safety
8) Perceptions of safety</v>
      </c>
      <c r="AH9" s="188"/>
      <c r="AI9" s="188"/>
      <c r="AJ9" s="188"/>
      <c r="AK9" s="188"/>
      <c r="AL9" s="188"/>
    </row>
    <row r="10" spans="34:38">
      <c r="AH10" s="188"/>
      <c r="AI10" s="188"/>
      <c r="AJ10" s="188"/>
      <c r="AK10" s="188"/>
      <c r="AL10" s="188"/>
    </row>
    <row r="11" spans="1:38">
      <c r="A11" s="24" t="s">
        <v>392</v>
      </c>
      <c r="B11" s="24">
        <f>uxbWorks!B17</f>
        <v>39</v>
      </c>
      <c r="AH11" s="188"/>
      <c r="AI11" s="188"/>
      <c r="AJ11" s="188"/>
      <c r="AK11" s="188"/>
      <c r="AL11" s="188"/>
    </row>
    <row r="12" spans="34:38">
      <c r="AH12" s="188"/>
      <c r="AI12" s="188"/>
      <c r="AJ12" s="188"/>
      <c r="AK12" s="188"/>
      <c r="AL12" s="188"/>
    </row>
    <row r="13" spans="14:44">
      <c r="N13" s="184" t="s">
        <v>393</v>
      </c>
      <c r="O13" s="184"/>
      <c r="P13" s="184"/>
      <c r="Q13" s="187"/>
      <c r="R13" s="184"/>
      <c r="S13" s="184"/>
      <c r="T13" s="184"/>
      <c r="U13" s="184"/>
      <c r="W13" s="184"/>
      <c r="X13" s="184"/>
      <c r="Y13" s="184"/>
      <c r="AA13" s="184" t="s">
        <v>394</v>
      </c>
      <c r="AB13" s="184">
        <v>4</v>
      </c>
      <c r="AC13" s="184">
        <v>3</v>
      </c>
      <c r="AD13" s="184">
        <v>2</v>
      </c>
      <c r="AE13" s="184">
        <v>1</v>
      </c>
      <c r="AF13" s="184">
        <v>0</v>
      </c>
      <c r="AG13" s="184"/>
      <c r="AH13" s="184" t="s">
        <v>395</v>
      </c>
      <c r="AI13" s="184"/>
      <c r="AJ13" s="184" t="s">
        <v>396</v>
      </c>
      <c r="AK13" s="184" t="s">
        <v>397</v>
      </c>
      <c r="AL13" s="184" t="s">
        <v>396</v>
      </c>
      <c r="AM13" s="184" t="s">
        <v>397</v>
      </c>
      <c r="AN13" s="184" t="s">
        <v>398</v>
      </c>
      <c r="AO13" s="184" t="s">
        <v>397</v>
      </c>
      <c r="AP13" s="184" t="s">
        <v>399</v>
      </c>
      <c r="AQ13" s="184"/>
      <c r="AR13" s="184"/>
    </row>
    <row r="14" spans="4:41">
      <c r="D14" s="14" t="s">
        <v>400</v>
      </c>
      <c r="E14" s="14" t="s">
        <v>376</v>
      </c>
      <c r="F14" s="14" t="s">
        <v>401</v>
      </c>
      <c r="G14" s="14" t="s">
        <v>378</v>
      </c>
      <c r="H14" s="14" t="s">
        <v>402</v>
      </c>
      <c r="I14" s="14" t="s">
        <v>403</v>
      </c>
      <c r="J14" s="24" t="s">
        <v>404</v>
      </c>
      <c r="K14" s="24" t="s">
        <v>405</v>
      </c>
      <c r="Q14" s="14" t="s">
        <v>400</v>
      </c>
      <c r="T14" s="24" t="s">
        <v>406</v>
      </c>
      <c r="U14" s="24" t="s">
        <v>407</v>
      </c>
      <c r="V14" s="184" t="s">
        <v>408</v>
      </c>
      <c r="Y14" s="14"/>
      <c r="AB14" s="24">
        <v>0</v>
      </c>
      <c r="AC14" s="24">
        <v>0</v>
      </c>
      <c r="AD14" s="24">
        <v>0</v>
      </c>
      <c r="AE14" s="24">
        <v>0</v>
      </c>
      <c r="AF14" s="24">
        <v>0</v>
      </c>
      <c r="AH14" s="24" t="e">
        <f>CONCATENATE(#REF!,"-",#REF!)</f>
        <v>#REF!</v>
      </c>
      <c r="AI14" s="24" t="s">
        <v>397</v>
      </c>
      <c r="AJ14" s="24" t="e">
        <f>CONCATENATE(#REF!,"-",#REF!)</f>
        <v>#REF!</v>
      </c>
      <c r="AK14" s="24" t="s">
        <v>397</v>
      </c>
      <c r="AL14" s="24" t="e">
        <f>CONCATENATE(#REF!,"-",#REF!)</f>
        <v>#REF!</v>
      </c>
      <c r="AM14" s="24" t="s">
        <v>397</v>
      </c>
      <c r="AN14" s="24" t="e">
        <f>CONCATENATE(#REF!,"-",#REF!)</f>
        <v>#REF!</v>
      </c>
      <c r="AO14" s="24" t="s">
        <v>397</v>
      </c>
    </row>
    <row r="15" spans="1:42">
      <c r="A15" s="24">
        <v>1</v>
      </c>
      <c r="B15" s="24" t="str">
        <f>tblCities!C3</f>
        <v>Stockholm</v>
      </c>
      <c r="C15" s="24" t="str">
        <f>CONCATENATE(B15,$C$2)</f>
        <v>StockholmPERSAF_OP</v>
      </c>
      <c r="D15" s="14">
        <f t="shared" ref="D15:D46" si="0">IF(Z15=1,INDEX(aData,$B$2,$A15),"")</f>
        <v>0</v>
      </c>
      <c r="E15" s="14">
        <f t="shared" ref="E15:E46" si="1">IF(Z15=1,INDEX(aRoundedScores,$B$2,$A15),"")</f>
        <v>90.73</v>
      </c>
      <c r="F15" s="14">
        <f>E15</f>
        <v>90.73</v>
      </c>
      <c r="G15" s="14">
        <f>IF(ISNUMBER(D15),MATCH(D15,QUARTILE($D$15:$D$64,{0,1,2,3})),0)</f>
        <v>4</v>
      </c>
      <c r="H15" s="14"/>
      <c r="I15" s="14">
        <f>RANK(F15,$F$15:$F$64)+COUNTIF(F$15:F15,F15)-1</f>
        <v>1</v>
      </c>
      <c r="J15" s="24">
        <f>MATCH($A15,$I$15:$I$64,0)</f>
        <v>1</v>
      </c>
      <c r="K15" s="24">
        <f t="shared" ref="K15:K46" si="2">IF(ISNA(INDEX(luCountryStatus,J15)),0,INDEX(luCountryStatus,J15))</f>
        <v>2</v>
      </c>
      <c r="L15" s="24">
        <f>INDEX(aRankedScores,$B$2,J15)</f>
        <v>1</v>
      </c>
      <c r="M15" s="14">
        <f>IF(K15=0,"",IF(COUNTIF(L$15:L$38,L15)&gt;1,CONCATENATE("=",L15),L15))</f>
        <v>1</v>
      </c>
      <c r="N15" s="24" t="str">
        <f t="shared" ref="N15:N46" si="3">IF(K15=0,"",INDEX(luCountry,$J15))</f>
        <v>Stockholm</v>
      </c>
      <c r="O15" s="24">
        <f>IF(K15=0,"",INDEX($E$15:$E$64,$J15))</f>
        <v>90.73</v>
      </c>
      <c r="P15" s="185" t="str">
        <f>IF(K15=0,"",IF(OR(AND(uxbWorks!$E$9=1,$E$2=1),AND(uxbWorks!$E$9=1,$E$2=0)),REPT("|",O15*5),REPT("|",O15/2)))</f>
        <v>|||||||||||||||||||||||||||||||||||||||||||||</v>
      </c>
      <c r="Q15" s="14" t="str">
        <f>IF(K15=0,"",IF($N$2=1,"",INDEX($D$15:$D$64,$J15)))</f>
        <v/>
      </c>
      <c r="S15" s="24" t="str">
        <f t="shared" ref="S15" si="4">IF(ISNUMBER(Q15),N15,CONCATENATE(N15," &lt;no data&gt;"))</f>
        <v>Stockholm &lt;no data&gt;</v>
      </c>
      <c r="T15" s="24" t="str">
        <f>IF(ISNUMBER(Q15),Q15,"")</f>
        <v/>
      </c>
      <c r="U15" s="24" t="e">
        <f>IF(AND($J15=#REF!,ISNUMBER(Q15)),Q15,"")</f>
        <v>#REF!</v>
      </c>
      <c r="V15" s="24" t="str">
        <f>INDEX(iSource!$M$9:$BJ$66,$B$2,A15)</f>
        <v>EIU Calculation</v>
      </c>
      <c r="Z15" s="24">
        <f>INDEX(tblCities!$H$3:$L$52,iRankIndi!A15,uxbWorks!$B$25)</f>
        <v>1</v>
      </c>
      <c r="AB15" s="24" t="e">
        <f ca="1" t="shared" ref="AB15:AB33" si="5">AB14+MATCH(AB$13,OFFSET($Y$15:$Y$33,AB14,0),0)</f>
        <v>#N/A</v>
      </c>
      <c r="AC15" s="24" t="e">
        <f ca="1" t="shared" ref="AC15:AC33" si="6">AC14+MATCH(AC$13,OFFSET($Y$15:$Y$33,AC14,0),0)</f>
        <v>#N/A</v>
      </c>
      <c r="AD15" s="24" t="e">
        <f ca="1" t="shared" ref="AD15:AD33" si="7">AD14+MATCH(AD$13,OFFSET($Y$15:$Y$33,AD14,0),0)</f>
        <v>#N/A</v>
      </c>
      <c r="AE15" s="24" t="e">
        <f ca="1" t="shared" ref="AE15:AE33" si="8">AE14+MATCH(AE$13,OFFSET($Y$15:$Y$33,AE14,0),0)</f>
        <v>#N/A</v>
      </c>
      <c r="AF15" s="24" t="e">
        <f ca="1" t="shared" ref="AF15:AF33" si="9">AF14+MATCH(AF$13,OFFSET($Y$15:$Y$33,AF14,0),0)</f>
        <v>#N/A</v>
      </c>
      <c r="AH15" s="24" t="str">
        <f ca="1" t="shared" ref="AH15:AH33" si="10">IF(ISNUMBER(AB15),INDEX($S$15:$S$33,AB15),"")</f>
        <v/>
      </c>
      <c r="AI15" s="24" t="str">
        <f ca="1" t="shared" ref="AI15:AI33" si="11">IF(ISNUMBER(AB15),INDEX($T$15:$T$33,AB15),"")</f>
        <v/>
      </c>
      <c r="AJ15" s="24" t="str">
        <f ca="1" t="shared" ref="AJ15:AJ33" si="12">IF(ISNUMBER(AC15),INDEX($S$15:$S$33,AC15),"")</f>
        <v/>
      </c>
      <c r="AK15" s="24" t="str">
        <f ca="1" t="shared" ref="AK15:AK33" si="13">IF(ISNUMBER(AC15),INDEX($T$15:$T$33,AC15),"")</f>
        <v/>
      </c>
      <c r="AL15" s="24" t="str">
        <f ca="1" t="shared" ref="AL15:AL33" si="14">IF(ISNUMBER(AD15),INDEX($S$15:$S$33,AD15),"")</f>
        <v/>
      </c>
      <c r="AM15" s="24" t="str">
        <f ca="1" t="shared" ref="AM15:AM33" si="15">IF(ISNUMBER(AD15),INDEX($T$15:$T$33,AD15),"")</f>
        <v/>
      </c>
      <c r="AN15" s="24" t="str">
        <f ca="1" t="shared" ref="AN15:AN33" si="16">IF(ISNUMBER(AE15),INDEX($S$15:$S$33,AE15),"")</f>
        <v/>
      </c>
      <c r="AO15" s="24" t="str">
        <f ca="1" t="shared" ref="AO15:AO33" si="17">IF(ISNUMBER(AE15),INDEX($T$15:$T$33,AE15),"")</f>
        <v/>
      </c>
      <c r="AP15" s="24" t="str">
        <f ca="1" t="shared" ref="AP15:AP33" si="18">IF(ISNUMBER(AF15),INDEX($S$15:$S$33,AF15),"")</f>
        <v/>
      </c>
    </row>
    <row r="16" spans="1:42">
      <c r="A16" s="24">
        <v>2</v>
      </c>
      <c r="B16" s="24" t="str">
        <f>tblCities!C4</f>
        <v>Johannesburg</v>
      </c>
      <c r="C16" s="24" t="str">
        <f t="shared" ref="C16:C33" si="19">CONCATENATE(B16,$C$2)</f>
        <v>JohannesburgPERSAF_OP</v>
      </c>
      <c r="D16" s="14">
        <f t="shared" si="0"/>
        <v>0</v>
      </c>
      <c r="E16" s="14">
        <f t="shared" si="1"/>
        <v>54.96</v>
      </c>
      <c r="F16" s="14">
        <f t="shared" ref="F16:F38" si="20">E16</f>
        <v>54.96</v>
      </c>
      <c r="G16" s="14">
        <f>IF(ISNUMBER(D16),MATCH(D16,QUARTILE($D$15:$D$64,{0,1,2,3})),0)</f>
        <v>4</v>
      </c>
      <c r="H16" s="14"/>
      <c r="I16" s="14">
        <f>RANK(F16,$F$15:$F$64)+COUNTIF(F$15:F16,F16)-1</f>
        <v>45</v>
      </c>
      <c r="J16" s="24">
        <f t="shared" ref="J16:J64" si="21">MATCH($A16,$I$15:$I$64,0)</f>
        <v>30</v>
      </c>
      <c r="K16" s="24">
        <f t="shared" si="2"/>
        <v>2</v>
      </c>
      <c r="L16" s="24">
        <f t="shared" ref="L16:L38" si="22">INDEX(aRankedScores,$B$2,J16)</f>
        <v>2</v>
      </c>
      <c r="M16" s="14">
        <f t="shared" ref="M16:M64" si="23">IF(K16=0,"",IF(COUNTIF(L$15:L$38,L16)&gt;1,CONCATENATE("=",L16),L16))</f>
        <v>2</v>
      </c>
      <c r="N16" s="24" t="str">
        <f t="shared" si="3"/>
        <v>Singapore</v>
      </c>
      <c r="O16" s="24">
        <f t="shared" ref="O16:O64" si="24">IF(K16=0,"",INDEX($E$15:$E$64,$J16))</f>
        <v>86.08</v>
      </c>
      <c r="P16" s="185" t="str">
        <f>IF(K16=0,"",IF(OR(AND(uxbWorks!$E$9=1,$E$2=1),AND(uxbWorks!$E$9=1,$E$2=0)),REPT("|",O16*5),REPT("|",O16/2)))</f>
        <v>|||||||||||||||||||||||||||||||||||||||||||</v>
      </c>
      <c r="Q16" s="14" t="str">
        <f t="shared" ref="Q16:Q64" si="25">IF(K16=0,"",IF($N$2=1,"",INDEX($D$15:$D$64,$J16)))</f>
        <v/>
      </c>
      <c r="S16" s="24" t="str">
        <f t="shared" ref="S16:S38" si="26">IF(ISNUMBER(Q16),N16,CONCATENATE(N16," &lt;no data&gt;"))</f>
        <v>Singapore &lt;no data&gt;</v>
      </c>
      <c r="T16" s="24" t="str">
        <f t="shared" ref="T16:T38" si="27">IF(ISNUMBER(Q16),Q16,"")</f>
        <v/>
      </c>
      <c r="U16" s="24" t="e">
        <f>IF(AND($J16=#REF!,ISNUMBER(Q16)),Q16,"")</f>
        <v>#REF!</v>
      </c>
      <c r="V16" s="24" t="str">
        <f>INDEX(iSource!$M$9:$BJ$66,$B$2,A16)</f>
        <v>EIU Calculation</v>
      </c>
      <c r="Z16" s="24">
        <f>INDEX(tblCities!$H$3:$L$52,iRankIndi!A16,uxbWorks!$B$25)</f>
        <v>1</v>
      </c>
      <c r="AB16" s="24" t="e">
        <f ca="1" t="shared" si="5"/>
        <v>#N/A</v>
      </c>
      <c r="AC16" s="24" t="e">
        <f ca="1" t="shared" si="6"/>
        <v>#N/A</v>
      </c>
      <c r="AD16" s="24" t="e">
        <f ca="1" t="shared" si="7"/>
        <v>#N/A</v>
      </c>
      <c r="AE16" s="24" t="e">
        <f ca="1" t="shared" si="8"/>
        <v>#N/A</v>
      </c>
      <c r="AF16" s="24" t="e">
        <f ca="1" t="shared" si="9"/>
        <v>#N/A</v>
      </c>
      <c r="AH16" s="24" t="str">
        <f ca="1" t="shared" si="10"/>
        <v/>
      </c>
      <c r="AI16" s="24" t="str">
        <f ca="1" t="shared" si="11"/>
        <v/>
      </c>
      <c r="AJ16" s="24" t="str">
        <f ca="1" t="shared" si="12"/>
        <v/>
      </c>
      <c r="AK16" s="24" t="str">
        <f ca="1" t="shared" si="13"/>
        <v/>
      </c>
      <c r="AL16" s="24" t="str">
        <f ca="1" t="shared" si="14"/>
        <v/>
      </c>
      <c r="AM16" s="24" t="str">
        <f ca="1" t="shared" si="15"/>
        <v/>
      </c>
      <c r="AN16" s="24" t="str">
        <f ca="1" t="shared" si="16"/>
        <v/>
      </c>
      <c r="AO16" s="24" t="str">
        <f ca="1" t="shared" si="17"/>
        <v/>
      </c>
      <c r="AP16" s="24" t="str">
        <f ca="1" t="shared" si="18"/>
        <v/>
      </c>
    </row>
    <row r="17" spans="1:42">
      <c r="A17" s="24">
        <v>3</v>
      </c>
      <c r="B17" s="24" t="str">
        <f>tblCities!C5</f>
        <v>Buenos Aires</v>
      </c>
      <c r="C17" s="24" t="str">
        <f t="shared" si="19"/>
        <v>Buenos AiresPERSAF_OP</v>
      </c>
      <c r="D17" s="14">
        <f t="shared" si="0"/>
        <v>0</v>
      </c>
      <c r="E17" s="14">
        <f t="shared" si="1"/>
        <v>58.54</v>
      </c>
      <c r="F17" s="14">
        <f t="shared" si="20"/>
        <v>58.54</v>
      </c>
      <c r="G17" s="14">
        <f>IF(ISNUMBER(D17),MATCH(D17,QUARTILE($D$15:$D$64,{0,1,2,3})),0)</f>
        <v>4</v>
      </c>
      <c r="H17" s="14"/>
      <c r="I17" s="14">
        <f>RANK(F17,$F$15:$F$64)+COUNTIF(F$15:F17,F17)-1</f>
        <v>42</v>
      </c>
      <c r="J17" s="24">
        <f t="shared" si="21"/>
        <v>37</v>
      </c>
      <c r="K17" s="24">
        <f t="shared" si="2"/>
        <v>2</v>
      </c>
      <c r="L17" s="24">
        <f t="shared" si="22"/>
        <v>3</v>
      </c>
      <c r="M17" s="14">
        <f t="shared" si="23"/>
        <v>3</v>
      </c>
      <c r="N17" s="24" t="str">
        <f t="shared" si="3"/>
        <v>Riyadh</v>
      </c>
      <c r="O17" s="24">
        <f t="shared" si="24"/>
        <v>85.53</v>
      </c>
      <c r="P17" s="185" t="str">
        <f>IF(K17=0,"",IF(OR(AND(uxbWorks!$E$9=1,$E$2=1),AND(uxbWorks!$E$9=1,$E$2=0)),REPT("|",O17*5),REPT("|",O17/2)))</f>
        <v>||||||||||||||||||||||||||||||||||||||||||</v>
      </c>
      <c r="Q17" s="14" t="str">
        <f t="shared" si="25"/>
        <v/>
      </c>
      <c r="S17" s="24" t="str">
        <f t="shared" si="26"/>
        <v>Riyadh &lt;no data&gt;</v>
      </c>
      <c r="T17" s="24" t="str">
        <f t="shared" si="27"/>
        <v/>
      </c>
      <c r="U17" s="24" t="e">
        <f>IF(AND($J17=#REF!,ISNUMBER(Q17)),Q17,"")</f>
        <v>#REF!</v>
      </c>
      <c r="V17" s="24" t="str">
        <f>INDEX(iSource!$M$9:$BJ$66,$B$2,A17)</f>
        <v>EIU Calculation</v>
      </c>
      <c r="Z17" s="24">
        <f>INDEX(tblCities!$H$3:$L$52,iRankIndi!A17,uxbWorks!$B$25)</f>
        <v>1</v>
      </c>
      <c r="AB17" s="24" t="e">
        <f ca="1" t="shared" si="5"/>
        <v>#N/A</v>
      </c>
      <c r="AC17" s="24" t="e">
        <f ca="1" t="shared" si="6"/>
        <v>#N/A</v>
      </c>
      <c r="AD17" s="24" t="e">
        <f ca="1" t="shared" si="7"/>
        <v>#N/A</v>
      </c>
      <c r="AE17" s="24" t="e">
        <f ca="1" t="shared" si="8"/>
        <v>#N/A</v>
      </c>
      <c r="AF17" s="24" t="e">
        <f ca="1" t="shared" si="9"/>
        <v>#N/A</v>
      </c>
      <c r="AH17" s="24" t="str">
        <f ca="1" t="shared" si="10"/>
        <v/>
      </c>
      <c r="AI17" s="24" t="str">
        <f ca="1" t="shared" si="11"/>
        <v/>
      </c>
      <c r="AJ17" s="24" t="str">
        <f ca="1" t="shared" si="12"/>
        <v/>
      </c>
      <c r="AK17" s="24" t="str">
        <f ca="1" t="shared" si="13"/>
        <v/>
      </c>
      <c r="AL17" s="24" t="str">
        <f ca="1" t="shared" si="14"/>
        <v/>
      </c>
      <c r="AM17" s="24" t="str">
        <f ca="1" t="shared" si="15"/>
        <v/>
      </c>
      <c r="AN17" s="24" t="str">
        <f ca="1" t="shared" si="16"/>
        <v/>
      </c>
      <c r="AO17" s="24" t="str">
        <f ca="1" t="shared" si="17"/>
        <v/>
      </c>
      <c r="AP17" s="24" t="str">
        <f ca="1" t="shared" si="18"/>
        <v/>
      </c>
    </row>
    <row r="18" spans="1:42">
      <c r="A18" s="24">
        <v>4</v>
      </c>
      <c r="B18" s="24" t="str">
        <f>tblCities!C6</f>
        <v>Sao Paulo</v>
      </c>
      <c r="C18" s="24" t="str">
        <f t="shared" si="19"/>
        <v>Sao PauloPERSAF_OP</v>
      </c>
      <c r="D18" s="14">
        <f t="shared" si="0"/>
        <v>0</v>
      </c>
      <c r="E18" s="14">
        <f t="shared" si="1"/>
        <v>63.05</v>
      </c>
      <c r="F18" s="14">
        <f t="shared" si="20"/>
        <v>63.05</v>
      </c>
      <c r="G18" s="14">
        <f>IF(ISNUMBER(D18),MATCH(D18,QUARTILE($D$15:$D$64,{0,1,2,3})),0)</f>
        <v>4</v>
      </c>
      <c r="H18" s="14"/>
      <c r="I18" s="14">
        <f>RANK(F18,$F$15:$F$64)+COUNTIF(F$15:F18,F18)-1</f>
        <v>34</v>
      </c>
      <c r="J18" s="24">
        <f t="shared" si="21"/>
        <v>35</v>
      </c>
      <c r="K18" s="24">
        <f t="shared" si="2"/>
        <v>2</v>
      </c>
      <c r="L18" s="24">
        <f t="shared" si="22"/>
        <v>4</v>
      </c>
      <c r="M18" s="14">
        <f t="shared" si="23"/>
        <v>4</v>
      </c>
      <c r="N18" s="24" t="str">
        <f t="shared" si="3"/>
        <v>Kuwait City</v>
      </c>
      <c r="O18" s="24">
        <f t="shared" si="24"/>
        <v>85.38</v>
      </c>
      <c r="P18" s="185" t="str">
        <f>IF(K18=0,"",IF(OR(AND(uxbWorks!$E$9=1,$E$2=1),AND(uxbWorks!$E$9=1,$E$2=0)),REPT("|",O18*5),REPT("|",O18/2)))</f>
        <v>||||||||||||||||||||||||||||||||||||||||||</v>
      </c>
      <c r="Q18" s="14" t="str">
        <f t="shared" si="25"/>
        <v/>
      </c>
      <c r="S18" s="24" t="str">
        <f t="shared" si="26"/>
        <v>Kuwait City &lt;no data&gt;</v>
      </c>
      <c r="T18" s="24" t="str">
        <f t="shared" si="27"/>
        <v/>
      </c>
      <c r="U18" s="24" t="e">
        <f>IF(AND($J18=#REF!,ISNUMBER(Q18)),Q18,"")</f>
        <v>#REF!</v>
      </c>
      <c r="V18" s="24" t="str">
        <f>INDEX(iSource!$M$9:$BJ$66,$B$2,A18)</f>
        <v>EIU Calculation</v>
      </c>
      <c r="Z18" s="24">
        <f>INDEX(tblCities!$H$3:$L$52,iRankIndi!A18,uxbWorks!$B$25)</f>
        <v>1</v>
      </c>
      <c r="AB18" s="24" t="e">
        <f ca="1" t="shared" si="5"/>
        <v>#N/A</v>
      </c>
      <c r="AC18" s="24" t="e">
        <f ca="1" t="shared" si="6"/>
        <v>#N/A</v>
      </c>
      <c r="AD18" s="24" t="e">
        <f ca="1" t="shared" si="7"/>
        <v>#N/A</v>
      </c>
      <c r="AE18" s="24" t="e">
        <f ca="1" t="shared" si="8"/>
        <v>#N/A</v>
      </c>
      <c r="AF18" s="24" t="e">
        <f ca="1" t="shared" si="9"/>
        <v>#N/A</v>
      </c>
      <c r="AH18" s="24" t="str">
        <f ca="1" t="shared" si="10"/>
        <v/>
      </c>
      <c r="AI18" s="24" t="str">
        <f ca="1" t="shared" si="11"/>
        <v/>
      </c>
      <c r="AJ18" s="24" t="str">
        <f ca="1" t="shared" si="12"/>
        <v/>
      </c>
      <c r="AK18" s="24" t="str">
        <f ca="1" t="shared" si="13"/>
        <v/>
      </c>
      <c r="AL18" s="24" t="str">
        <f ca="1" t="shared" si="14"/>
        <v/>
      </c>
      <c r="AM18" s="24" t="str">
        <f ca="1" t="shared" si="15"/>
        <v/>
      </c>
      <c r="AN18" s="24" t="str">
        <f ca="1" t="shared" si="16"/>
        <v/>
      </c>
      <c r="AO18" s="24" t="str">
        <f ca="1" t="shared" si="17"/>
        <v/>
      </c>
      <c r="AP18" s="24" t="str">
        <f ca="1" t="shared" si="18"/>
        <v/>
      </c>
    </row>
    <row r="19" spans="1:42">
      <c r="A19" s="24">
        <v>5</v>
      </c>
      <c r="B19" s="24" t="str">
        <f>tblCities!C7</f>
        <v>Rio de Janeiro</v>
      </c>
      <c r="C19" s="24" t="str">
        <f t="shared" si="19"/>
        <v>Rio de JaneiroPERSAF_OP</v>
      </c>
      <c r="D19" s="14">
        <f t="shared" si="0"/>
        <v>0</v>
      </c>
      <c r="E19" s="14">
        <f t="shared" si="1"/>
        <v>61.32</v>
      </c>
      <c r="F19" s="14">
        <f t="shared" si="20"/>
        <v>61.32</v>
      </c>
      <c r="G19" s="14">
        <f>IF(ISNUMBER(D19),MATCH(D19,QUARTILE($D$15:$D$64,{0,1,2,3})),0)</f>
        <v>4</v>
      </c>
      <c r="H19" s="14"/>
      <c r="I19" s="14">
        <f>RANK(F19,$F$15:$F$64)+COUNTIF(F$15:F19,F19)-1</f>
        <v>41</v>
      </c>
      <c r="J19" s="24">
        <f t="shared" si="21"/>
        <v>38</v>
      </c>
      <c r="K19" s="24">
        <f t="shared" si="2"/>
        <v>3</v>
      </c>
      <c r="L19" s="24">
        <f t="shared" si="22"/>
        <v>5</v>
      </c>
      <c r="M19" s="14">
        <f t="shared" si="23"/>
        <v>5</v>
      </c>
      <c r="N19" s="24" t="str">
        <f t="shared" si="3"/>
        <v>Abu Dhabi</v>
      </c>
      <c r="O19" s="24">
        <f t="shared" si="24"/>
        <v>84.77</v>
      </c>
      <c r="P19" s="185" t="str">
        <f>IF(K19=0,"",IF(OR(AND(uxbWorks!$E$9=1,$E$2=1),AND(uxbWorks!$E$9=1,$E$2=0)),REPT("|",O19*5),REPT("|",O19/2)))</f>
        <v>||||||||||||||||||||||||||||||||||||||||||</v>
      </c>
      <c r="Q19" s="14" t="str">
        <f t="shared" si="25"/>
        <v/>
      </c>
      <c r="S19" s="24" t="str">
        <f t="shared" si="26"/>
        <v>Abu Dhabi &lt;no data&gt;</v>
      </c>
      <c r="T19" s="24" t="str">
        <f t="shared" si="27"/>
        <v/>
      </c>
      <c r="U19" s="24" t="e">
        <f>IF(AND($J19=#REF!,ISNUMBER(Q19)),Q19,"")</f>
        <v>#REF!</v>
      </c>
      <c r="V19" s="24" t="str">
        <f>INDEX(iSource!$M$9:$BJ$66,$B$2,A19)</f>
        <v>EIU Calculation</v>
      </c>
      <c r="Z19" s="24">
        <f>INDEX(tblCities!$H$3:$L$52,iRankIndi!A19,uxbWorks!$B$25)</f>
        <v>1</v>
      </c>
      <c r="AB19" s="24" t="e">
        <f ca="1" t="shared" si="5"/>
        <v>#N/A</v>
      </c>
      <c r="AC19" s="24" t="e">
        <f ca="1" t="shared" si="6"/>
        <v>#N/A</v>
      </c>
      <c r="AD19" s="24" t="e">
        <f ca="1" t="shared" si="7"/>
        <v>#N/A</v>
      </c>
      <c r="AE19" s="24" t="e">
        <f ca="1" t="shared" si="8"/>
        <v>#N/A</v>
      </c>
      <c r="AF19" s="24" t="e">
        <f ca="1" t="shared" si="9"/>
        <v>#N/A</v>
      </c>
      <c r="AH19" s="24" t="str">
        <f ca="1" t="shared" si="10"/>
        <v/>
      </c>
      <c r="AI19" s="24" t="str">
        <f ca="1" t="shared" si="11"/>
        <v/>
      </c>
      <c r="AJ19" s="24" t="str">
        <f ca="1" t="shared" si="12"/>
        <v/>
      </c>
      <c r="AK19" s="24" t="str">
        <f ca="1" t="shared" si="13"/>
        <v/>
      </c>
      <c r="AL19" s="24" t="str">
        <f ca="1" t="shared" si="14"/>
        <v/>
      </c>
      <c r="AM19" s="24" t="str">
        <f ca="1" t="shared" si="15"/>
        <v/>
      </c>
      <c r="AN19" s="24" t="str">
        <f ca="1" t="shared" si="16"/>
        <v/>
      </c>
      <c r="AO19" s="24" t="str">
        <f ca="1" t="shared" si="17"/>
        <v/>
      </c>
      <c r="AP19" s="24" t="str">
        <f ca="1" t="shared" si="18"/>
        <v/>
      </c>
    </row>
    <row r="20" spans="1:42">
      <c r="A20" s="24">
        <v>6</v>
      </c>
      <c r="B20" s="24" t="str">
        <f>tblCities!C8</f>
        <v>Los Angeles</v>
      </c>
      <c r="C20" s="24" t="str">
        <f t="shared" si="19"/>
        <v>Los AngelesPERSAF_OP</v>
      </c>
      <c r="D20" s="14">
        <f t="shared" si="0"/>
        <v>0</v>
      </c>
      <c r="E20" s="14">
        <f t="shared" si="1"/>
        <v>52.84</v>
      </c>
      <c r="F20" s="14">
        <f t="shared" si="20"/>
        <v>52.84</v>
      </c>
      <c r="G20" s="14">
        <f>IF(ISNUMBER(D20),MATCH(D20,QUARTILE($D$15:$D$64,{0,1,2,3})),0)</f>
        <v>4</v>
      </c>
      <c r="H20" s="14"/>
      <c r="I20" s="14">
        <f>RANK(F20,$F$15:$F$64)+COUNTIF(F$15:F20,F20)-1</f>
        <v>47</v>
      </c>
      <c r="J20" s="24">
        <f t="shared" si="21"/>
        <v>29</v>
      </c>
      <c r="K20" s="24">
        <f t="shared" si="2"/>
        <v>2</v>
      </c>
      <c r="L20" s="24">
        <f t="shared" si="22"/>
        <v>6</v>
      </c>
      <c r="M20" s="14">
        <f t="shared" si="23"/>
        <v>6</v>
      </c>
      <c r="N20" s="24" t="str">
        <f t="shared" si="3"/>
        <v>Osaka</v>
      </c>
      <c r="O20" s="24">
        <f t="shared" si="24"/>
        <v>84.2</v>
      </c>
      <c r="P20" s="185" t="str">
        <f>IF(K20=0,"",IF(OR(AND(uxbWorks!$E$9=1,$E$2=1),AND(uxbWorks!$E$9=1,$E$2=0)),REPT("|",O20*5),REPT("|",O20/2)))</f>
        <v>||||||||||||||||||||||||||||||||||||||||||</v>
      </c>
      <c r="Q20" s="14" t="str">
        <f t="shared" si="25"/>
        <v/>
      </c>
      <c r="S20" s="24" t="str">
        <f t="shared" si="26"/>
        <v>Osaka &lt;no data&gt;</v>
      </c>
      <c r="T20" s="24" t="str">
        <f t="shared" si="27"/>
        <v/>
      </c>
      <c r="U20" s="24" t="e">
        <f>IF(AND($J20=#REF!,ISNUMBER(Q20)),Q20,"")</f>
        <v>#REF!</v>
      </c>
      <c r="V20" s="24" t="str">
        <f>INDEX(iSource!$M$9:$BJ$66,$B$2,A20)</f>
        <v>EIU Calculation</v>
      </c>
      <c r="Z20" s="24">
        <f>INDEX(tblCities!$H$3:$L$52,iRankIndi!A20,uxbWorks!$B$25)</f>
        <v>1</v>
      </c>
      <c r="AB20" s="24" t="e">
        <f ca="1" t="shared" si="5"/>
        <v>#N/A</v>
      </c>
      <c r="AC20" s="24" t="e">
        <f ca="1" t="shared" si="6"/>
        <v>#N/A</v>
      </c>
      <c r="AD20" s="24" t="e">
        <f ca="1" t="shared" si="7"/>
        <v>#N/A</v>
      </c>
      <c r="AE20" s="24" t="e">
        <f ca="1" t="shared" si="8"/>
        <v>#N/A</v>
      </c>
      <c r="AF20" s="24" t="e">
        <f ca="1" t="shared" si="9"/>
        <v>#N/A</v>
      </c>
      <c r="AH20" s="24" t="str">
        <f ca="1" t="shared" si="10"/>
        <v/>
      </c>
      <c r="AI20" s="24" t="str">
        <f ca="1" t="shared" si="11"/>
        <v/>
      </c>
      <c r="AJ20" s="24" t="str">
        <f ca="1" t="shared" si="12"/>
        <v/>
      </c>
      <c r="AK20" s="24" t="str">
        <f ca="1" t="shared" si="13"/>
        <v/>
      </c>
      <c r="AL20" s="24" t="str">
        <f ca="1" t="shared" si="14"/>
        <v/>
      </c>
      <c r="AM20" s="24" t="str">
        <f ca="1" t="shared" si="15"/>
        <v/>
      </c>
      <c r="AN20" s="24" t="str">
        <f ca="1" t="shared" si="16"/>
        <v/>
      </c>
      <c r="AO20" s="24" t="str">
        <f ca="1" t="shared" si="17"/>
        <v/>
      </c>
      <c r="AP20" s="24" t="str">
        <f ca="1" t="shared" si="18"/>
        <v/>
      </c>
    </row>
    <row r="21" spans="1:42">
      <c r="A21" s="24">
        <v>7</v>
      </c>
      <c r="B21" s="24" t="str">
        <f>tblCities!C9</f>
        <v>San Francisco</v>
      </c>
      <c r="C21" s="24" t="str">
        <f t="shared" si="19"/>
        <v>San FranciscoPERSAF_OP</v>
      </c>
      <c r="D21" s="14">
        <f t="shared" si="0"/>
        <v>0</v>
      </c>
      <c r="E21" s="14">
        <f t="shared" si="1"/>
        <v>55.44</v>
      </c>
      <c r="F21" s="14">
        <f t="shared" si="20"/>
        <v>55.44</v>
      </c>
      <c r="G21" s="14">
        <f>IF(ISNUMBER(D21),MATCH(D21,QUARTILE($D$15:$D$64,{0,1,2,3})),0)</f>
        <v>4</v>
      </c>
      <c r="H21" s="14"/>
      <c r="I21" s="14">
        <f>RANK(F21,$F$15:$F$64)+COUNTIF(F$15:F21,F21)-1</f>
        <v>44</v>
      </c>
      <c r="J21" s="24">
        <f t="shared" si="21"/>
        <v>28</v>
      </c>
      <c r="K21" s="24">
        <f t="shared" si="2"/>
        <v>2</v>
      </c>
      <c r="L21" s="24">
        <f t="shared" si="22"/>
        <v>7</v>
      </c>
      <c r="M21" s="14">
        <f t="shared" si="23"/>
        <v>7</v>
      </c>
      <c r="N21" s="24" t="str">
        <f t="shared" si="3"/>
        <v>Tokyo</v>
      </c>
      <c r="O21" s="24">
        <f t="shared" si="24"/>
        <v>82.42</v>
      </c>
      <c r="P21" s="185" t="str">
        <f>IF(K21=0,"",IF(OR(AND(uxbWorks!$E$9=1,$E$2=1),AND(uxbWorks!$E$9=1,$E$2=0)),REPT("|",O21*5),REPT("|",O21/2)))</f>
        <v>|||||||||||||||||||||||||||||||||||||||||</v>
      </c>
      <c r="Q21" s="14" t="str">
        <f t="shared" si="25"/>
        <v/>
      </c>
      <c r="S21" s="24" t="str">
        <f t="shared" si="26"/>
        <v>Tokyo &lt;no data&gt;</v>
      </c>
      <c r="T21" s="24" t="str">
        <f t="shared" si="27"/>
        <v/>
      </c>
      <c r="U21" s="24" t="e">
        <f>IF(AND($J21=#REF!,ISNUMBER(Q21)),Q21,"")</f>
        <v>#REF!</v>
      </c>
      <c r="V21" s="24" t="str">
        <f>INDEX(iSource!$M$9:$BJ$66,$B$2,A21)</f>
        <v>EIU Calculation</v>
      </c>
      <c r="Z21" s="24">
        <f>INDEX(tblCities!$H$3:$L$52,iRankIndi!A21,uxbWorks!$B$25)</f>
        <v>1</v>
      </c>
      <c r="AB21" s="24" t="e">
        <f ca="1" t="shared" si="5"/>
        <v>#N/A</v>
      </c>
      <c r="AC21" s="24" t="e">
        <f ca="1" t="shared" si="6"/>
        <v>#N/A</v>
      </c>
      <c r="AD21" s="24" t="e">
        <f ca="1" t="shared" si="7"/>
        <v>#N/A</v>
      </c>
      <c r="AE21" s="24" t="e">
        <f ca="1" t="shared" si="8"/>
        <v>#N/A</v>
      </c>
      <c r="AF21" s="24" t="e">
        <f ca="1" t="shared" si="9"/>
        <v>#N/A</v>
      </c>
      <c r="AH21" s="24" t="str">
        <f ca="1" t="shared" si="10"/>
        <v/>
      </c>
      <c r="AI21" s="24" t="str">
        <f ca="1" t="shared" si="11"/>
        <v/>
      </c>
      <c r="AJ21" s="24" t="str">
        <f ca="1" t="shared" si="12"/>
        <v/>
      </c>
      <c r="AK21" s="24" t="str">
        <f ca="1" t="shared" si="13"/>
        <v/>
      </c>
      <c r="AL21" s="24" t="str">
        <f ca="1" t="shared" si="14"/>
        <v/>
      </c>
      <c r="AM21" s="24" t="str">
        <f ca="1" t="shared" si="15"/>
        <v/>
      </c>
      <c r="AN21" s="24" t="str">
        <f ca="1" t="shared" si="16"/>
        <v/>
      </c>
      <c r="AO21" s="24" t="str">
        <f ca="1" t="shared" si="17"/>
        <v/>
      </c>
      <c r="AP21" s="24" t="str">
        <f ca="1" t="shared" si="18"/>
        <v/>
      </c>
    </row>
    <row r="22" spans="1:42">
      <c r="A22" s="24">
        <v>8</v>
      </c>
      <c r="B22" s="24" t="str">
        <f>tblCities!C10</f>
        <v>Toronto</v>
      </c>
      <c r="C22" s="24" t="str">
        <f t="shared" si="19"/>
        <v>TorontoPERSAF_OP</v>
      </c>
      <c r="D22" s="14">
        <f t="shared" si="0"/>
        <v>0</v>
      </c>
      <c r="E22" s="14">
        <f t="shared" si="1"/>
        <v>76.31</v>
      </c>
      <c r="F22" s="14">
        <f t="shared" si="20"/>
        <v>76.31</v>
      </c>
      <c r="G22" s="14">
        <f>IF(ISNUMBER(D22),MATCH(D22,QUARTILE($D$15:$D$64,{0,1,2,3})),0)</f>
        <v>4</v>
      </c>
      <c r="H22" s="14"/>
      <c r="I22" s="14">
        <f>RANK(F22,$F$15:$F$64)+COUNTIF(F$15:F22,F22)-1</f>
        <v>12</v>
      </c>
      <c r="J22" s="24">
        <f t="shared" si="21"/>
        <v>48</v>
      </c>
      <c r="K22" s="24">
        <f t="shared" si="2"/>
        <v>2</v>
      </c>
      <c r="L22" s="24">
        <f t="shared" si="22"/>
        <v>8</v>
      </c>
      <c r="M22" s="14">
        <f t="shared" si="23"/>
        <v>8</v>
      </c>
      <c r="N22" s="24" t="str">
        <f t="shared" si="3"/>
        <v>Zurich</v>
      </c>
      <c r="O22" s="24">
        <f t="shared" si="24"/>
        <v>82.06</v>
      </c>
      <c r="P22" s="185" t="str">
        <f>IF(K22=0,"",IF(OR(AND(uxbWorks!$E$9=1,$E$2=1),AND(uxbWorks!$E$9=1,$E$2=0)),REPT("|",O22*5),REPT("|",O22/2)))</f>
        <v>|||||||||||||||||||||||||||||||||||||||||</v>
      </c>
      <c r="Q22" s="14" t="str">
        <f t="shared" si="25"/>
        <v/>
      </c>
      <c r="S22" s="24" t="str">
        <f t="shared" si="26"/>
        <v>Zurich &lt;no data&gt;</v>
      </c>
      <c r="T22" s="24" t="str">
        <f t="shared" si="27"/>
        <v/>
      </c>
      <c r="U22" s="24" t="e">
        <f>IF(AND($J22=#REF!,ISNUMBER(Q22)),Q22,"")</f>
        <v>#REF!</v>
      </c>
      <c r="V22" s="24" t="str">
        <f>INDEX(iSource!$M$9:$BJ$66,$B$2,A22)</f>
        <v>EIU Calculation</v>
      </c>
      <c r="Z22" s="24">
        <f>INDEX(tblCities!$H$3:$L$52,iRankIndi!A22,uxbWorks!$B$25)</f>
        <v>1</v>
      </c>
      <c r="AB22" s="24" t="e">
        <f ca="1" t="shared" si="5"/>
        <v>#N/A</v>
      </c>
      <c r="AC22" s="24" t="e">
        <f ca="1" t="shared" si="6"/>
        <v>#N/A</v>
      </c>
      <c r="AD22" s="24" t="e">
        <f ca="1" t="shared" si="7"/>
        <v>#N/A</v>
      </c>
      <c r="AE22" s="24" t="e">
        <f ca="1" t="shared" si="8"/>
        <v>#N/A</v>
      </c>
      <c r="AF22" s="24" t="e">
        <f ca="1" t="shared" si="9"/>
        <v>#N/A</v>
      </c>
      <c r="AH22" s="24" t="str">
        <f ca="1" t="shared" si="10"/>
        <v/>
      </c>
      <c r="AI22" s="24" t="str">
        <f ca="1" t="shared" si="11"/>
        <v/>
      </c>
      <c r="AJ22" s="24" t="str">
        <f ca="1" t="shared" si="12"/>
        <v/>
      </c>
      <c r="AK22" s="24" t="str">
        <f ca="1" t="shared" si="13"/>
        <v/>
      </c>
      <c r="AL22" s="24" t="str">
        <f ca="1" t="shared" si="14"/>
        <v/>
      </c>
      <c r="AM22" s="24" t="str">
        <f ca="1" t="shared" si="15"/>
        <v/>
      </c>
      <c r="AN22" s="24" t="str">
        <f ca="1" t="shared" si="16"/>
        <v/>
      </c>
      <c r="AO22" s="24" t="str">
        <f ca="1" t="shared" si="17"/>
        <v/>
      </c>
      <c r="AP22" s="24" t="str">
        <f ca="1" t="shared" si="18"/>
        <v/>
      </c>
    </row>
    <row r="23" spans="1:42">
      <c r="A23" s="24">
        <v>9</v>
      </c>
      <c r="B23" s="24" t="str">
        <f>tblCities!C11</f>
        <v>Montreal</v>
      </c>
      <c r="C23" s="24" t="str">
        <f t="shared" si="19"/>
        <v>MontrealPERSAF_OP</v>
      </c>
      <c r="D23" s="14">
        <f t="shared" si="0"/>
        <v>0</v>
      </c>
      <c r="E23" s="14">
        <f t="shared" si="1"/>
        <v>72.2</v>
      </c>
      <c r="F23" s="14">
        <f t="shared" si="20"/>
        <v>72.2</v>
      </c>
      <c r="G23" s="14">
        <f>IF(ISNUMBER(D23),MATCH(D23,QUARTILE($D$15:$D$64,{0,1,2,3})),0)</f>
        <v>4</v>
      </c>
      <c r="H23" s="14"/>
      <c r="I23" s="14">
        <f>RANK(F23,$F$15:$F$64)+COUNTIF(F$15:F23,F23)-1</f>
        <v>17</v>
      </c>
      <c r="J23" s="24">
        <f t="shared" si="21"/>
        <v>31</v>
      </c>
      <c r="K23" s="24">
        <f t="shared" si="2"/>
        <v>2</v>
      </c>
      <c r="L23" s="24">
        <f t="shared" si="22"/>
        <v>9</v>
      </c>
      <c r="M23" s="14">
        <f t="shared" si="23"/>
        <v>9</v>
      </c>
      <c r="N23" s="24" t="str">
        <f t="shared" si="3"/>
        <v>Seoul</v>
      </c>
      <c r="O23" s="24">
        <f t="shared" si="24"/>
        <v>77.95</v>
      </c>
      <c r="P23" s="185" t="str">
        <f>IF(K23=0,"",IF(OR(AND(uxbWorks!$E$9=1,$E$2=1),AND(uxbWorks!$E$9=1,$E$2=0)),REPT("|",O23*5),REPT("|",O23/2)))</f>
        <v>||||||||||||||||||||||||||||||||||||||</v>
      </c>
      <c r="Q23" s="14" t="str">
        <f t="shared" si="25"/>
        <v/>
      </c>
      <c r="S23" s="24" t="str">
        <f t="shared" si="26"/>
        <v>Seoul &lt;no data&gt;</v>
      </c>
      <c r="T23" s="24" t="str">
        <f t="shared" si="27"/>
        <v/>
      </c>
      <c r="U23" s="24" t="e">
        <f>IF(AND($J23=#REF!,ISNUMBER(Q23)),Q23,"")</f>
        <v>#REF!</v>
      </c>
      <c r="V23" s="24" t="str">
        <f>INDEX(iSource!$M$9:$BJ$66,$B$2,A23)</f>
        <v>EIU Calculation</v>
      </c>
      <c r="Z23" s="24">
        <f>INDEX(tblCities!$H$3:$L$52,iRankIndi!A23,uxbWorks!$B$25)</f>
        <v>1</v>
      </c>
      <c r="AB23" s="24" t="e">
        <f ca="1" t="shared" si="5"/>
        <v>#N/A</v>
      </c>
      <c r="AC23" s="24" t="e">
        <f ca="1" t="shared" si="6"/>
        <v>#N/A</v>
      </c>
      <c r="AD23" s="24" t="e">
        <f ca="1" t="shared" si="7"/>
        <v>#N/A</v>
      </c>
      <c r="AE23" s="24" t="e">
        <f ca="1" t="shared" si="8"/>
        <v>#N/A</v>
      </c>
      <c r="AF23" s="24" t="e">
        <f ca="1" t="shared" si="9"/>
        <v>#N/A</v>
      </c>
      <c r="AH23" s="24" t="str">
        <f ca="1" t="shared" si="10"/>
        <v/>
      </c>
      <c r="AI23" s="24" t="str">
        <f ca="1" t="shared" si="11"/>
        <v/>
      </c>
      <c r="AJ23" s="24" t="str">
        <f ca="1" t="shared" si="12"/>
        <v/>
      </c>
      <c r="AK23" s="24" t="str">
        <f ca="1" t="shared" si="13"/>
        <v/>
      </c>
      <c r="AL23" s="24" t="str">
        <f ca="1" t="shared" si="14"/>
        <v/>
      </c>
      <c r="AM23" s="24" t="str">
        <f ca="1" t="shared" si="15"/>
        <v/>
      </c>
      <c r="AN23" s="24" t="str">
        <f ca="1" t="shared" si="16"/>
        <v/>
      </c>
      <c r="AO23" s="24" t="str">
        <f ca="1" t="shared" si="17"/>
        <v/>
      </c>
      <c r="AP23" s="24" t="str">
        <f ca="1" t="shared" si="18"/>
        <v/>
      </c>
    </row>
    <row r="24" spans="1:42">
      <c r="A24" s="24">
        <v>10</v>
      </c>
      <c r="B24" s="24" t="str">
        <f>tblCities!C12</f>
        <v>Chicago</v>
      </c>
      <c r="C24" s="24" t="str">
        <f t="shared" si="19"/>
        <v>ChicagoPERSAF_OP</v>
      </c>
      <c r="D24" s="14">
        <f t="shared" si="0"/>
        <v>0</v>
      </c>
      <c r="E24" s="14">
        <f t="shared" si="1"/>
        <v>52.77</v>
      </c>
      <c r="F24" s="14">
        <f t="shared" si="20"/>
        <v>52.77</v>
      </c>
      <c r="G24" s="14">
        <f>IF(ISNUMBER(D24),MATCH(D24,QUARTILE($D$15:$D$64,{0,1,2,3})),0)</f>
        <v>4</v>
      </c>
      <c r="H24" s="14"/>
      <c r="I24" s="14">
        <f>RANK(F24,$F$15:$F$64)+COUNTIF(F$15:F24,F24)-1</f>
        <v>48</v>
      </c>
      <c r="J24" s="24">
        <f t="shared" si="21"/>
        <v>18</v>
      </c>
      <c r="K24" s="24">
        <f t="shared" si="2"/>
        <v>2</v>
      </c>
      <c r="L24" s="24">
        <f t="shared" si="22"/>
        <v>10</v>
      </c>
      <c r="M24" s="14">
        <f t="shared" si="23"/>
        <v>10</v>
      </c>
      <c r="N24" s="24" t="str">
        <f t="shared" si="3"/>
        <v>Hong Kong</v>
      </c>
      <c r="O24" s="24">
        <f t="shared" si="24"/>
        <v>77.57</v>
      </c>
      <c r="P24" s="185" t="str">
        <f>IF(K24=0,"",IF(OR(AND(uxbWorks!$E$9=1,$E$2=1),AND(uxbWorks!$E$9=1,$E$2=0)),REPT("|",O24*5),REPT("|",O24/2)))</f>
        <v>||||||||||||||||||||||||||||||||||||||</v>
      </c>
      <c r="Q24" s="14" t="str">
        <f t="shared" si="25"/>
        <v/>
      </c>
      <c r="S24" s="24" t="str">
        <f t="shared" si="26"/>
        <v>Hong Kong &lt;no data&gt;</v>
      </c>
      <c r="T24" s="24" t="str">
        <f t="shared" si="27"/>
        <v/>
      </c>
      <c r="U24" s="24" t="e">
        <f>IF(AND($J24=#REF!,ISNUMBER(Q24)),Q24,"")</f>
        <v>#REF!</v>
      </c>
      <c r="V24" s="24" t="str">
        <f>INDEX(iSource!$M$9:$BJ$66,$B$2,A24)</f>
        <v>EIU Calculation</v>
      </c>
      <c r="Z24" s="24">
        <f>INDEX(tblCities!$H$3:$L$52,iRankIndi!A24,uxbWorks!$B$25)</f>
        <v>1</v>
      </c>
      <c r="AB24" s="24" t="e">
        <f ca="1" t="shared" si="5"/>
        <v>#N/A</v>
      </c>
      <c r="AC24" s="24" t="e">
        <f ca="1" t="shared" si="6"/>
        <v>#N/A</v>
      </c>
      <c r="AD24" s="24" t="e">
        <f ca="1" t="shared" si="7"/>
        <v>#N/A</v>
      </c>
      <c r="AE24" s="24" t="e">
        <f ca="1" t="shared" si="8"/>
        <v>#N/A</v>
      </c>
      <c r="AF24" s="24" t="e">
        <f ca="1" t="shared" si="9"/>
        <v>#N/A</v>
      </c>
      <c r="AH24" s="24" t="str">
        <f ca="1" t="shared" si="10"/>
        <v/>
      </c>
      <c r="AI24" s="24" t="str">
        <f ca="1" t="shared" si="11"/>
        <v/>
      </c>
      <c r="AJ24" s="24" t="str">
        <f ca="1" t="shared" si="12"/>
        <v/>
      </c>
      <c r="AK24" s="24" t="str">
        <f ca="1" t="shared" si="13"/>
        <v/>
      </c>
      <c r="AL24" s="24" t="str">
        <f ca="1" t="shared" si="14"/>
        <v/>
      </c>
      <c r="AM24" s="24" t="str">
        <f ca="1" t="shared" si="15"/>
        <v/>
      </c>
      <c r="AN24" s="24" t="str">
        <f ca="1" t="shared" si="16"/>
        <v/>
      </c>
      <c r="AO24" s="24" t="str">
        <f ca="1" t="shared" si="17"/>
        <v/>
      </c>
      <c r="AP24" s="24" t="str">
        <f ca="1" t="shared" si="18"/>
        <v/>
      </c>
    </row>
    <row r="25" spans="1:42">
      <c r="A25" s="24">
        <v>11</v>
      </c>
      <c r="B25" s="24" t="str">
        <f>tblCities!C13</f>
        <v>Mexico City</v>
      </c>
      <c r="C25" s="24" t="str">
        <f t="shared" si="19"/>
        <v>Mexico CityPERSAF_OP</v>
      </c>
      <c r="D25" s="14">
        <f t="shared" si="0"/>
        <v>0</v>
      </c>
      <c r="E25" s="14">
        <f t="shared" si="1"/>
        <v>52.23</v>
      </c>
      <c r="F25" s="14">
        <f t="shared" si="20"/>
        <v>52.23</v>
      </c>
      <c r="G25" s="14">
        <f>IF(ISNUMBER(D25),MATCH(D25,QUARTILE($D$15:$D$64,{0,1,2,3})),0)</f>
        <v>4</v>
      </c>
      <c r="H25" s="14"/>
      <c r="I25" s="14">
        <f>RANK(F25,$F$15:$F$64)+COUNTIF(F$15:F25,F25)-1</f>
        <v>49</v>
      </c>
      <c r="J25" s="24">
        <f t="shared" si="21"/>
        <v>32</v>
      </c>
      <c r="K25" s="24">
        <f t="shared" si="2"/>
        <v>2</v>
      </c>
      <c r="L25" s="24">
        <f t="shared" si="22"/>
        <v>11</v>
      </c>
      <c r="M25" s="14">
        <f t="shared" si="23"/>
        <v>11</v>
      </c>
      <c r="N25" s="24" t="str">
        <f t="shared" si="3"/>
        <v>Taipei</v>
      </c>
      <c r="O25" s="24">
        <f t="shared" si="24"/>
        <v>76.82</v>
      </c>
      <c r="P25" s="185" t="str">
        <f>IF(K25=0,"",IF(OR(AND(uxbWorks!$E$9=1,$E$2=1),AND(uxbWorks!$E$9=1,$E$2=0)),REPT("|",O25*5),REPT("|",O25/2)))</f>
        <v>||||||||||||||||||||||||||||||||||||||</v>
      </c>
      <c r="Q25" s="14" t="str">
        <f t="shared" si="25"/>
        <v/>
      </c>
      <c r="S25" s="24" t="str">
        <f t="shared" si="26"/>
        <v>Taipei &lt;no data&gt;</v>
      </c>
      <c r="T25" s="24" t="str">
        <f t="shared" si="27"/>
        <v/>
      </c>
      <c r="U25" s="24" t="e">
        <f>IF(AND($J25=#REF!,ISNUMBER(Q25)),Q25,"")</f>
        <v>#REF!</v>
      </c>
      <c r="V25" s="24" t="str">
        <f>INDEX(iSource!$M$9:$BJ$66,$B$2,A25)</f>
        <v>EIU Calculation</v>
      </c>
      <c r="Z25" s="24">
        <f>INDEX(tblCities!$H$3:$L$52,iRankIndi!A25,uxbWorks!$B$25)</f>
        <v>1</v>
      </c>
      <c r="AB25" s="24" t="e">
        <f ca="1" t="shared" si="5"/>
        <v>#N/A</v>
      </c>
      <c r="AC25" s="24" t="e">
        <f ca="1" t="shared" si="6"/>
        <v>#N/A</v>
      </c>
      <c r="AD25" s="24" t="e">
        <f ca="1" t="shared" si="7"/>
        <v>#N/A</v>
      </c>
      <c r="AE25" s="24" t="e">
        <f ca="1" t="shared" si="8"/>
        <v>#N/A</v>
      </c>
      <c r="AF25" s="24" t="e">
        <f ca="1" t="shared" si="9"/>
        <v>#N/A</v>
      </c>
      <c r="AH25" s="24" t="str">
        <f ca="1" t="shared" si="10"/>
        <v/>
      </c>
      <c r="AI25" s="24" t="str">
        <f ca="1" t="shared" si="11"/>
        <v/>
      </c>
      <c r="AJ25" s="24" t="str">
        <f ca="1" t="shared" si="12"/>
        <v/>
      </c>
      <c r="AK25" s="24" t="str">
        <f ca="1" t="shared" si="13"/>
        <v/>
      </c>
      <c r="AL25" s="24" t="str">
        <f ca="1" t="shared" si="14"/>
        <v/>
      </c>
      <c r="AM25" s="24" t="str">
        <f ca="1" t="shared" si="15"/>
        <v/>
      </c>
      <c r="AN25" s="24" t="str">
        <f ca="1" t="shared" si="16"/>
        <v/>
      </c>
      <c r="AO25" s="24" t="str">
        <f ca="1" t="shared" si="17"/>
        <v/>
      </c>
      <c r="AP25" s="24" t="str">
        <f ca="1" t="shared" si="18"/>
        <v/>
      </c>
    </row>
    <row r="26" spans="1:42">
      <c r="A26" s="24">
        <v>12</v>
      </c>
      <c r="B26" s="24" t="str">
        <f>tblCities!C14</f>
        <v>Lima</v>
      </c>
      <c r="C26" s="24" t="str">
        <f t="shared" si="19"/>
        <v>LimaPERSAF_OP</v>
      </c>
      <c r="D26" s="14">
        <f t="shared" si="0"/>
        <v>0</v>
      </c>
      <c r="E26" s="14">
        <f t="shared" si="1"/>
        <v>69.14</v>
      </c>
      <c r="F26" s="14">
        <f t="shared" si="20"/>
        <v>69.14</v>
      </c>
      <c r="G26" s="14">
        <f>IF(ISNUMBER(D26),MATCH(D26,QUARTILE($D$15:$D$64,{0,1,2,3})),0)</f>
        <v>4</v>
      </c>
      <c r="H26" s="14"/>
      <c r="I26" s="14">
        <f>RANK(F26,$F$15:$F$64)+COUNTIF(F$15:F26,F26)-1</f>
        <v>24</v>
      </c>
      <c r="J26" s="24">
        <f t="shared" si="21"/>
        <v>8</v>
      </c>
      <c r="K26" s="24">
        <f t="shared" si="2"/>
        <v>2</v>
      </c>
      <c r="L26" s="24">
        <f t="shared" si="22"/>
        <v>12</v>
      </c>
      <c r="M26" s="14">
        <f t="shared" si="23"/>
        <v>12</v>
      </c>
      <c r="N26" s="24" t="str">
        <f t="shared" si="3"/>
        <v>Toronto</v>
      </c>
      <c r="O26" s="24">
        <f t="shared" si="24"/>
        <v>76.31</v>
      </c>
      <c r="P26" s="185" t="str">
        <f>IF(K26=0,"",IF(OR(AND(uxbWorks!$E$9=1,$E$2=1),AND(uxbWorks!$E$9=1,$E$2=0)),REPT("|",O26*5),REPT("|",O26/2)))</f>
        <v>||||||||||||||||||||||||||||||||||||||</v>
      </c>
      <c r="Q26" s="14" t="str">
        <f t="shared" si="25"/>
        <v/>
      </c>
      <c r="S26" s="24" t="str">
        <f t="shared" si="26"/>
        <v>Toronto &lt;no data&gt;</v>
      </c>
      <c r="T26" s="24" t="str">
        <f t="shared" si="27"/>
        <v/>
      </c>
      <c r="U26" s="24" t="e">
        <f>IF(AND($J26=#REF!,ISNUMBER(Q26)),Q26,"")</f>
        <v>#REF!</v>
      </c>
      <c r="V26" s="24" t="str">
        <f>INDEX(iSource!$M$9:$BJ$66,$B$2,A26)</f>
        <v>EIU Calculation</v>
      </c>
      <c r="Z26" s="24">
        <f>INDEX(tblCities!$H$3:$L$52,iRankIndi!A26,uxbWorks!$B$25)</f>
        <v>1</v>
      </c>
      <c r="AB26" s="24" t="e">
        <f ca="1" t="shared" si="5"/>
        <v>#N/A</v>
      </c>
      <c r="AC26" s="24" t="e">
        <f ca="1" t="shared" si="6"/>
        <v>#N/A</v>
      </c>
      <c r="AD26" s="24" t="e">
        <f ca="1" t="shared" si="7"/>
        <v>#N/A</v>
      </c>
      <c r="AE26" s="24" t="e">
        <f ca="1" t="shared" si="8"/>
        <v>#N/A</v>
      </c>
      <c r="AF26" s="24" t="e">
        <f ca="1" t="shared" si="9"/>
        <v>#N/A</v>
      </c>
      <c r="AH26" s="24" t="str">
        <f ca="1" t="shared" si="10"/>
        <v/>
      </c>
      <c r="AI26" s="24" t="str">
        <f ca="1" t="shared" si="11"/>
        <v/>
      </c>
      <c r="AJ26" s="24" t="str">
        <f ca="1" t="shared" si="12"/>
        <v/>
      </c>
      <c r="AK26" s="24" t="str">
        <f ca="1" t="shared" si="13"/>
        <v/>
      </c>
      <c r="AL26" s="24" t="str">
        <f ca="1" t="shared" si="14"/>
        <v/>
      </c>
      <c r="AM26" s="24" t="str">
        <f ca="1" t="shared" si="15"/>
        <v/>
      </c>
      <c r="AN26" s="24" t="str">
        <f ca="1" t="shared" si="16"/>
        <v/>
      </c>
      <c r="AO26" s="24" t="str">
        <f ca="1" t="shared" si="17"/>
        <v/>
      </c>
      <c r="AP26" s="24" t="str">
        <f ca="1" t="shared" si="18"/>
        <v/>
      </c>
    </row>
    <row r="27" spans="1:42">
      <c r="A27" s="24">
        <v>13</v>
      </c>
      <c r="B27" s="24" t="str">
        <f>tblCities!C15</f>
        <v>Santiago</v>
      </c>
      <c r="C27" s="24" t="str">
        <f t="shared" si="19"/>
        <v>SantiagoPERSAF_OP</v>
      </c>
      <c r="D27" s="14">
        <f t="shared" si="0"/>
        <v>0</v>
      </c>
      <c r="E27" s="14">
        <f t="shared" si="1"/>
        <v>55.73</v>
      </c>
      <c r="F27" s="14">
        <f t="shared" si="20"/>
        <v>55.73</v>
      </c>
      <c r="G27" s="14">
        <f>IF(ISNUMBER(D27),MATCH(D27,QUARTILE($D$15:$D$64,{0,1,2,3})),0)</f>
        <v>4</v>
      </c>
      <c r="H27" s="14"/>
      <c r="I27" s="14">
        <f>RANK(F27,$F$15:$F$64)+COUNTIF(F$15:F27,F27)-1</f>
        <v>43</v>
      </c>
      <c r="J27" s="24">
        <f t="shared" si="21"/>
        <v>45</v>
      </c>
      <c r="K27" s="24">
        <f t="shared" si="2"/>
        <v>2</v>
      </c>
      <c r="L27" s="24">
        <f t="shared" si="22"/>
        <v>13</v>
      </c>
      <c r="M27" s="14">
        <f t="shared" si="23"/>
        <v>13</v>
      </c>
      <c r="N27" s="24" t="str">
        <f t="shared" si="3"/>
        <v>Moscow</v>
      </c>
      <c r="O27" s="24">
        <f t="shared" si="24"/>
        <v>76.02</v>
      </c>
      <c r="P27" s="185" t="str">
        <f>IF(K27=0,"",IF(OR(AND(uxbWorks!$E$9=1,$E$2=1),AND(uxbWorks!$E$9=1,$E$2=0)),REPT("|",O27*5),REPT("|",O27/2)))</f>
        <v>||||||||||||||||||||||||||||||||||||||</v>
      </c>
      <c r="Q27" s="14" t="str">
        <f t="shared" si="25"/>
        <v/>
      </c>
      <c r="S27" s="24" t="str">
        <f t="shared" si="26"/>
        <v>Moscow &lt;no data&gt;</v>
      </c>
      <c r="T27" s="24" t="str">
        <f t="shared" si="27"/>
        <v/>
      </c>
      <c r="U27" s="24" t="e">
        <f>IF(AND($J27=#REF!,ISNUMBER(Q27)),Q27,"")</f>
        <v>#REF!</v>
      </c>
      <c r="V27" s="24" t="str">
        <f>INDEX(iSource!$M$9:$BJ$66,$B$2,A27)</f>
        <v>EIU Calculation</v>
      </c>
      <c r="Z27" s="24">
        <f>INDEX(tblCities!$H$3:$L$52,iRankIndi!A27,uxbWorks!$B$25)</f>
        <v>1</v>
      </c>
      <c r="AB27" s="24" t="e">
        <f ca="1" t="shared" si="5"/>
        <v>#N/A</v>
      </c>
      <c r="AC27" s="24" t="e">
        <f ca="1" t="shared" si="6"/>
        <v>#N/A</v>
      </c>
      <c r="AD27" s="24" t="e">
        <f ca="1" t="shared" si="7"/>
        <v>#N/A</v>
      </c>
      <c r="AE27" s="24" t="e">
        <f ca="1" t="shared" si="8"/>
        <v>#N/A</v>
      </c>
      <c r="AF27" s="24" t="e">
        <f ca="1" t="shared" si="9"/>
        <v>#N/A</v>
      </c>
      <c r="AH27" s="24" t="str">
        <f ca="1" t="shared" si="10"/>
        <v/>
      </c>
      <c r="AI27" s="24" t="str">
        <f ca="1" t="shared" si="11"/>
        <v/>
      </c>
      <c r="AJ27" s="24" t="str">
        <f ca="1" t="shared" si="12"/>
        <v/>
      </c>
      <c r="AK27" s="24" t="str">
        <f ca="1" t="shared" si="13"/>
        <v/>
      </c>
      <c r="AL27" s="24" t="str">
        <f ca="1" t="shared" si="14"/>
        <v/>
      </c>
      <c r="AM27" s="24" t="str">
        <f ca="1" t="shared" si="15"/>
        <v/>
      </c>
      <c r="AN27" s="24" t="str">
        <f ca="1" t="shared" si="16"/>
        <v/>
      </c>
      <c r="AO27" s="24" t="str">
        <f ca="1" t="shared" si="17"/>
        <v/>
      </c>
      <c r="AP27" s="24" t="str">
        <f ca="1" t="shared" si="18"/>
        <v/>
      </c>
    </row>
    <row r="28" spans="1:42">
      <c r="A28" s="24">
        <v>14</v>
      </c>
      <c r="B28" s="24" t="str">
        <f>tblCities!C16</f>
        <v>New York</v>
      </c>
      <c r="C28" s="24" t="str">
        <f t="shared" si="19"/>
        <v>New YorkPERSAF_OP</v>
      </c>
      <c r="D28" s="14">
        <f t="shared" si="0"/>
        <v>0</v>
      </c>
      <c r="E28" s="14">
        <f t="shared" si="1"/>
        <v>50.08</v>
      </c>
      <c r="F28" s="14">
        <f t="shared" si="20"/>
        <v>50.08</v>
      </c>
      <c r="G28" s="14">
        <f>IF(ISNUMBER(D28),MATCH(D28,QUARTILE($D$15:$D$64,{0,1,2,3})),0)</f>
        <v>4</v>
      </c>
      <c r="H28" s="14"/>
      <c r="I28" s="14">
        <f>RANK(F28,$F$15:$F$64)+COUNTIF(F$15:F28,F28)-1</f>
        <v>50</v>
      </c>
      <c r="J28" s="24">
        <f t="shared" si="21"/>
        <v>34</v>
      </c>
      <c r="K28" s="24">
        <f t="shared" si="2"/>
        <v>2</v>
      </c>
      <c r="L28" s="24">
        <f t="shared" si="22"/>
        <v>14</v>
      </c>
      <c r="M28" s="14">
        <f t="shared" si="23"/>
        <v>14</v>
      </c>
      <c r="N28" s="24" t="str">
        <f t="shared" si="3"/>
        <v>Ho Chi Minh</v>
      </c>
      <c r="O28" s="24">
        <f t="shared" si="24"/>
        <v>74.09</v>
      </c>
      <c r="P28" s="185" t="str">
        <f>IF(K28=0,"",IF(OR(AND(uxbWorks!$E$9=1,$E$2=1),AND(uxbWorks!$E$9=1,$E$2=0)),REPT("|",O28*5),REPT("|",O28/2)))</f>
        <v>|||||||||||||||||||||||||||||||||||||</v>
      </c>
      <c r="Q28" s="14" t="str">
        <f t="shared" si="25"/>
        <v/>
      </c>
      <c r="S28" s="24" t="str">
        <f t="shared" si="26"/>
        <v>Ho Chi Minh &lt;no data&gt;</v>
      </c>
      <c r="T28" s="24" t="str">
        <f t="shared" si="27"/>
        <v/>
      </c>
      <c r="U28" s="24" t="e">
        <f>IF(AND($J28=#REF!,ISNUMBER(Q28)),Q28,"")</f>
        <v>#REF!</v>
      </c>
      <c r="V28" s="24" t="str">
        <f>INDEX(iSource!$M$9:$BJ$66,$B$2,A28)</f>
        <v>EIU Calculation</v>
      </c>
      <c r="Z28" s="24">
        <f>INDEX(tblCities!$H$3:$L$52,iRankIndi!A28,uxbWorks!$B$25)</f>
        <v>1</v>
      </c>
      <c r="AB28" s="24" t="e">
        <f ca="1" t="shared" si="5"/>
        <v>#N/A</v>
      </c>
      <c r="AC28" s="24" t="e">
        <f ca="1" t="shared" si="6"/>
        <v>#N/A</v>
      </c>
      <c r="AD28" s="24" t="e">
        <f ca="1" t="shared" si="7"/>
        <v>#N/A</v>
      </c>
      <c r="AE28" s="24" t="e">
        <f ca="1" t="shared" si="8"/>
        <v>#N/A</v>
      </c>
      <c r="AF28" s="24" t="e">
        <f ca="1" t="shared" si="9"/>
        <v>#N/A</v>
      </c>
      <c r="AH28" s="24" t="str">
        <f ca="1" t="shared" si="10"/>
        <v/>
      </c>
      <c r="AI28" s="24" t="str">
        <f ca="1" t="shared" si="11"/>
        <v/>
      </c>
      <c r="AJ28" s="24" t="str">
        <f ca="1" t="shared" si="12"/>
        <v/>
      </c>
      <c r="AK28" s="24" t="str">
        <f ca="1" t="shared" si="13"/>
        <v/>
      </c>
      <c r="AL28" s="24" t="str">
        <f ca="1" t="shared" si="14"/>
        <v/>
      </c>
      <c r="AM28" s="24" t="str">
        <f ca="1" t="shared" si="15"/>
        <v/>
      </c>
      <c r="AN28" s="24" t="str">
        <f ca="1" t="shared" si="16"/>
        <v/>
      </c>
      <c r="AO28" s="24" t="str">
        <f ca="1" t="shared" si="17"/>
        <v/>
      </c>
      <c r="AP28" s="24" t="str">
        <f ca="1" t="shared" si="18"/>
        <v/>
      </c>
    </row>
    <row r="29" spans="1:42">
      <c r="A29" s="24">
        <v>15</v>
      </c>
      <c r="B29" s="24" t="str">
        <f>tblCities!C17</f>
        <v>Washington DC</v>
      </c>
      <c r="C29" s="24" t="str">
        <f t="shared" si="19"/>
        <v>Washington DCPERSAF_OP</v>
      </c>
      <c r="D29" s="14">
        <f t="shared" si="0"/>
        <v>0</v>
      </c>
      <c r="E29" s="14">
        <f t="shared" si="1"/>
        <v>52.89</v>
      </c>
      <c r="F29" s="14">
        <f t="shared" si="20"/>
        <v>52.89</v>
      </c>
      <c r="G29" s="14">
        <f>IF(ISNUMBER(D29),MATCH(D29,QUARTILE($D$15:$D$64,{0,1,2,3})),0)</f>
        <v>4</v>
      </c>
      <c r="H29" s="14"/>
      <c r="I29" s="14">
        <f>RANK(F29,$F$15:$F$64)+COUNTIF(F$15:F29,F29)-1</f>
        <v>46</v>
      </c>
      <c r="J29" s="24">
        <f t="shared" si="21"/>
        <v>39</v>
      </c>
      <c r="K29" s="24">
        <f t="shared" si="2"/>
        <v>2</v>
      </c>
      <c r="L29" s="24">
        <f t="shared" si="22"/>
        <v>15</v>
      </c>
      <c r="M29" s="14">
        <f t="shared" si="23"/>
        <v>15</v>
      </c>
      <c r="N29" s="24" t="str">
        <f t="shared" si="3"/>
        <v>Brussels</v>
      </c>
      <c r="O29" s="24">
        <f t="shared" si="24"/>
        <v>73.23</v>
      </c>
      <c r="P29" s="185" t="str">
        <f>IF(K29=0,"",IF(OR(AND(uxbWorks!$E$9=1,$E$2=1),AND(uxbWorks!$E$9=1,$E$2=0)),REPT("|",O29*5),REPT("|",O29/2)))</f>
        <v>||||||||||||||||||||||||||||||||||||</v>
      </c>
      <c r="Q29" s="14" t="str">
        <f t="shared" si="25"/>
        <v/>
      </c>
      <c r="S29" s="24" t="str">
        <f t="shared" si="26"/>
        <v>Brussels &lt;no data&gt;</v>
      </c>
      <c r="T29" s="24" t="str">
        <f t="shared" si="27"/>
        <v/>
      </c>
      <c r="U29" s="24" t="e">
        <f>IF(AND($J29=#REF!,ISNUMBER(Q29)),Q29,"")</f>
        <v>#REF!</v>
      </c>
      <c r="V29" s="24" t="str">
        <f>INDEX(iSource!$M$9:$BJ$66,$B$2,A29)</f>
        <v>EIU Calculation</v>
      </c>
      <c r="Z29" s="24">
        <f>INDEX(tblCities!$H$3:$L$52,iRankIndi!A29,uxbWorks!$B$25)</f>
        <v>1</v>
      </c>
      <c r="AB29" s="24" t="e">
        <f ca="1" t="shared" si="5"/>
        <v>#N/A</v>
      </c>
      <c r="AC29" s="24" t="e">
        <f ca="1" t="shared" si="6"/>
        <v>#N/A</v>
      </c>
      <c r="AD29" s="24" t="e">
        <f ca="1" t="shared" si="7"/>
        <v>#N/A</v>
      </c>
      <c r="AE29" s="24" t="e">
        <f ca="1" t="shared" si="8"/>
        <v>#N/A</v>
      </c>
      <c r="AF29" s="24" t="e">
        <f ca="1" t="shared" si="9"/>
        <v>#N/A</v>
      </c>
      <c r="AH29" s="24" t="str">
        <f ca="1" t="shared" si="10"/>
        <v/>
      </c>
      <c r="AI29" s="24" t="str">
        <f ca="1" t="shared" si="11"/>
        <v/>
      </c>
      <c r="AJ29" s="24" t="str">
        <f ca="1" t="shared" si="12"/>
        <v/>
      </c>
      <c r="AK29" s="24" t="str">
        <f ca="1" t="shared" si="13"/>
        <v/>
      </c>
      <c r="AL29" s="24" t="str">
        <f ca="1" t="shared" si="14"/>
        <v/>
      </c>
      <c r="AM29" s="24" t="str">
        <f ca="1" t="shared" si="15"/>
        <v/>
      </c>
      <c r="AN29" s="24" t="str">
        <f ca="1" t="shared" si="16"/>
        <v/>
      </c>
      <c r="AO29" s="24" t="str">
        <f ca="1" t="shared" si="17"/>
        <v/>
      </c>
      <c r="AP29" s="24" t="str">
        <f ca="1" t="shared" si="18"/>
        <v/>
      </c>
    </row>
    <row r="30" spans="1:42">
      <c r="A30" s="24">
        <v>16</v>
      </c>
      <c r="B30" s="24" t="str">
        <f>tblCities!C18</f>
        <v>Sydney</v>
      </c>
      <c r="C30" s="24" t="str">
        <f t="shared" si="19"/>
        <v>SydneyPERSAF_OP</v>
      </c>
      <c r="D30" s="14">
        <f t="shared" si="0"/>
        <v>0</v>
      </c>
      <c r="E30" s="14">
        <f t="shared" si="1"/>
        <v>65.81</v>
      </c>
      <c r="F30" s="14">
        <f t="shared" si="20"/>
        <v>65.81</v>
      </c>
      <c r="G30" s="14">
        <f>IF(ISNUMBER(D30),MATCH(D30,QUARTILE($D$15:$D$64,{0,1,2,3})),0)</f>
        <v>4</v>
      </c>
      <c r="H30" s="14"/>
      <c r="I30" s="14">
        <f>RANK(F30,$F$15:$F$64)+COUNTIF(F$15:F30,F30)-1</f>
        <v>31</v>
      </c>
      <c r="J30" s="24">
        <f t="shared" si="21"/>
        <v>44</v>
      </c>
      <c r="K30" s="24">
        <f t="shared" si="2"/>
        <v>2</v>
      </c>
      <c r="L30" s="24">
        <f t="shared" si="22"/>
        <v>16</v>
      </c>
      <c r="M30" s="14">
        <f t="shared" si="23"/>
        <v>16</v>
      </c>
      <c r="N30" s="24" t="str">
        <f t="shared" si="3"/>
        <v>Amsterdam</v>
      </c>
      <c r="O30" s="24">
        <f t="shared" si="24"/>
        <v>72.39</v>
      </c>
      <c r="P30" s="185" t="str">
        <f>IF(K30=0,"",IF(OR(AND(uxbWorks!$E$9=1,$E$2=1),AND(uxbWorks!$E$9=1,$E$2=0)),REPT("|",O30*5),REPT("|",O30/2)))</f>
        <v>||||||||||||||||||||||||||||||||||||</v>
      </c>
      <c r="Q30" s="14" t="str">
        <f t="shared" si="25"/>
        <v/>
      </c>
      <c r="S30" s="24" t="str">
        <f t="shared" si="26"/>
        <v>Amsterdam &lt;no data&gt;</v>
      </c>
      <c r="T30" s="24" t="str">
        <f t="shared" si="27"/>
        <v/>
      </c>
      <c r="U30" s="24" t="e">
        <f>IF(AND($J30=#REF!,ISNUMBER(Q30)),Q30,"")</f>
        <v>#REF!</v>
      </c>
      <c r="V30" s="24" t="str">
        <f>INDEX(iSource!$M$9:$BJ$66,$B$2,A30)</f>
        <v>EIU Calculation</v>
      </c>
      <c r="Z30" s="24">
        <f>INDEX(tblCities!$H$3:$L$52,iRankIndi!A30,uxbWorks!$B$25)</f>
        <v>1</v>
      </c>
      <c r="AB30" s="24" t="e">
        <f ca="1" t="shared" si="5"/>
        <v>#N/A</v>
      </c>
      <c r="AC30" s="24" t="e">
        <f ca="1" t="shared" si="6"/>
        <v>#N/A</v>
      </c>
      <c r="AD30" s="24" t="e">
        <f ca="1" t="shared" si="7"/>
        <v>#N/A</v>
      </c>
      <c r="AE30" s="24" t="e">
        <f ca="1" t="shared" si="8"/>
        <v>#N/A</v>
      </c>
      <c r="AF30" s="24" t="e">
        <f ca="1" t="shared" si="9"/>
        <v>#N/A</v>
      </c>
      <c r="AH30" s="24" t="str">
        <f ca="1" t="shared" si="10"/>
        <v/>
      </c>
      <c r="AI30" s="24" t="str">
        <f ca="1" t="shared" si="11"/>
        <v/>
      </c>
      <c r="AJ30" s="24" t="str">
        <f ca="1" t="shared" si="12"/>
        <v/>
      </c>
      <c r="AK30" s="24" t="str">
        <f ca="1" t="shared" si="13"/>
        <v/>
      </c>
      <c r="AL30" s="24" t="str">
        <f ca="1" t="shared" si="14"/>
        <v/>
      </c>
      <c r="AM30" s="24" t="str">
        <f ca="1" t="shared" si="15"/>
        <v/>
      </c>
      <c r="AN30" s="24" t="str">
        <f ca="1" t="shared" si="16"/>
        <v/>
      </c>
      <c r="AO30" s="24" t="str">
        <f ca="1" t="shared" si="17"/>
        <v/>
      </c>
      <c r="AP30" s="24" t="str">
        <f ca="1" t="shared" si="18"/>
        <v/>
      </c>
    </row>
    <row r="31" spans="1:42">
      <c r="A31" s="24">
        <v>17</v>
      </c>
      <c r="B31" s="24" t="str">
        <f>tblCities!C19</f>
        <v>Melbourne</v>
      </c>
      <c r="C31" s="24" t="str">
        <f t="shared" si="19"/>
        <v>MelbournePERSAF_OP</v>
      </c>
      <c r="D31" s="14">
        <f t="shared" si="0"/>
        <v>0</v>
      </c>
      <c r="E31" s="14">
        <f t="shared" si="1"/>
        <v>70.44</v>
      </c>
      <c r="F31" s="14">
        <f t="shared" si="20"/>
        <v>70.44</v>
      </c>
      <c r="G31" s="14">
        <f>IF(ISNUMBER(D31),MATCH(D31,QUARTILE($D$15:$D$64,{0,1,2,3})),0)</f>
        <v>4</v>
      </c>
      <c r="H31" s="14"/>
      <c r="I31" s="14">
        <f>RANK(F31,$F$15:$F$64)+COUNTIF(F$15:F31,F31)-1</f>
        <v>21</v>
      </c>
      <c r="J31" s="24">
        <f t="shared" si="21"/>
        <v>9</v>
      </c>
      <c r="K31" s="24">
        <f t="shared" si="2"/>
        <v>2</v>
      </c>
      <c r="L31" s="24">
        <f t="shared" si="22"/>
        <v>17</v>
      </c>
      <c r="M31" s="14">
        <f t="shared" si="23"/>
        <v>17</v>
      </c>
      <c r="N31" s="24" t="str">
        <f t="shared" si="3"/>
        <v>Montreal</v>
      </c>
      <c r="O31" s="24">
        <f t="shared" si="24"/>
        <v>72.2</v>
      </c>
      <c r="P31" s="185" t="str">
        <f>IF(K31=0,"",IF(OR(AND(uxbWorks!$E$9=1,$E$2=1),AND(uxbWorks!$E$9=1,$E$2=0)),REPT("|",O31*5),REPT("|",O31/2)))</f>
        <v>||||||||||||||||||||||||||||||||||||</v>
      </c>
      <c r="Q31" s="14" t="str">
        <f t="shared" si="25"/>
        <v/>
      </c>
      <c r="S31" s="24" t="str">
        <f t="shared" si="26"/>
        <v>Montreal &lt;no data&gt;</v>
      </c>
      <c r="T31" s="24" t="str">
        <f t="shared" si="27"/>
        <v/>
      </c>
      <c r="U31" s="24" t="e">
        <f>IF(AND($J31=#REF!,ISNUMBER(Q31)),Q31,"")</f>
        <v>#REF!</v>
      </c>
      <c r="V31" s="24" t="str">
        <f>INDEX(iSource!$M$9:$BJ$66,$B$2,A31)</f>
        <v>EIU Calculation</v>
      </c>
      <c r="Z31" s="24">
        <f>INDEX(tblCities!$H$3:$L$52,iRankIndi!A31,uxbWorks!$B$25)</f>
        <v>1</v>
      </c>
      <c r="AB31" s="24" t="e">
        <f ca="1" t="shared" si="5"/>
        <v>#N/A</v>
      </c>
      <c r="AC31" s="24" t="e">
        <f ca="1" t="shared" si="6"/>
        <v>#N/A</v>
      </c>
      <c r="AD31" s="24" t="e">
        <f ca="1" t="shared" si="7"/>
        <v>#N/A</v>
      </c>
      <c r="AE31" s="24" t="e">
        <f ca="1" t="shared" si="8"/>
        <v>#N/A</v>
      </c>
      <c r="AF31" s="24" t="e">
        <f ca="1" t="shared" si="9"/>
        <v>#N/A</v>
      </c>
      <c r="AH31" s="24" t="str">
        <f ca="1" t="shared" si="10"/>
        <v/>
      </c>
      <c r="AI31" s="24" t="str">
        <f ca="1" t="shared" si="11"/>
        <v/>
      </c>
      <c r="AJ31" s="24" t="str">
        <f ca="1" t="shared" si="12"/>
        <v/>
      </c>
      <c r="AK31" s="24" t="str">
        <f ca="1" t="shared" si="13"/>
        <v/>
      </c>
      <c r="AL31" s="24" t="str">
        <f ca="1" t="shared" si="14"/>
        <v/>
      </c>
      <c r="AM31" s="24" t="str">
        <f ca="1" t="shared" si="15"/>
        <v/>
      </c>
      <c r="AN31" s="24" t="str">
        <f ca="1" t="shared" si="16"/>
        <v/>
      </c>
      <c r="AO31" s="24" t="str">
        <f ca="1" t="shared" si="17"/>
        <v/>
      </c>
      <c r="AP31" s="24" t="str">
        <f ca="1" t="shared" si="18"/>
        <v/>
      </c>
    </row>
    <row r="32" spans="1:42">
      <c r="A32" s="24">
        <v>18</v>
      </c>
      <c r="B32" s="24" t="str">
        <f>tblCities!C20</f>
        <v>Hong Kong</v>
      </c>
      <c r="C32" s="24" t="str">
        <f t="shared" si="19"/>
        <v>Hong KongPERSAF_OP</v>
      </c>
      <c r="D32" s="14">
        <f t="shared" si="0"/>
        <v>0</v>
      </c>
      <c r="E32" s="14">
        <f t="shared" si="1"/>
        <v>77.57</v>
      </c>
      <c r="F32" s="14">
        <f t="shared" si="20"/>
        <v>77.57</v>
      </c>
      <c r="G32" s="14">
        <f>IF(ISNUMBER(D32),MATCH(D32,QUARTILE($D$15:$D$64,{0,1,2,3})),0)</f>
        <v>4</v>
      </c>
      <c r="H32" s="14"/>
      <c r="I32" s="14">
        <f>RANK(F32,$F$15:$F$64)+COUNTIF(F$15:F32,F32)-1</f>
        <v>10</v>
      </c>
      <c r="J32" s="24">
        <f t="shared" si="21"/>
        <v>24</v>
      </c>
      <c r="K32" s="24">
        <f t="shared" si="2"/>
        <v>2</v>
      </c>
      <c r="L32" s="24">
        <f t="shared" si="22"/>
        <v>18</v>
      </c>
      <c r="M32" s="14" t="str">
        <f t="shared" si="23"/>
        <v>=18</v>
      </c>
      <c r="N32" s="24" t="str">
        <f t="shared" si="3"/>
        <v>Mumbai</v>
      </c>
      <c r="O32" s="24">
        <f t="shared" si="24"/>
        <v>71.99</v>
      </c>
      <c r="P32" s="185" t="str">
        <f>IF(K32=0,"",IF(OR(AND(uxbWorks!$E$9=1,$E$2=1),AND(uxbWorks!$E$9=1,$E$2=0)),REPT("|",O32*5),REPT("|",O32/2)))</f>
        <v>|||||||||||||||||||||||||||||||||||</v>
      </c>
      <c r="Q32" s="14" t="str">
        <f t="shared" si="25"/>
        <v/>
      </c>
      <c r="S32" s="24" t="str">
        <f t="shared" si="26"/>
        <v>Mumbai &lt;no data&gt;</v>
      </c>
      <c r="T32" s="24" t="str">
        <f t="shared" si="27"/>
        <v/>
      </c>
      <c r="U32" s="24" t="e">
        <f>IF(AND($J32=#REF!,ISNUMBER(Q32)),Q32,"")</f>
        <v>#REF!</v>
      </c>
      <c r="V32" s="24" t="str">
        <f>INDEX(iSource!$M$9:$BJ$66,$B$2,A32)</f>
        <v>EIU Calculation</v>
      </c>
      <c r="Z32" s="24">
        <f>INDEX(tblCities!$H$3:$L$52,iRankIndi!A32,uxbWorks!$B$25)</f>
        <v>1</v>
      </c>
      <c r="AB32" s="24" t="e">
        <f ca="1" t="shared" si="5"/>
        <v>#N/A</v>
      </c>
      <c r="AC32" s="24" t="e">
        <f ca="1" t="shared" si="6"/>
        <v>#N/A</v>
      </c>
      <c r="AD32" s="24" t="e">
        <f ca="1" t="shared" si="7"/>
        <v>#N/A</v>
      </c>
      <c r="AE32" s="24" t="e">
        <f ca="1" t="shared" si="8"/>
        <v>#N/A</v>
      </c>
      <c r="AF32" s="24" t="e">
        <f ca="1" t="shared" si="9"/>
        <v>#N/A</v>
      </c>
      <c r="AH32" s="24" t="str">
        <f ca="1" t="shared" si="10"/>
        <v/>
      </c>
      <c r="AI32" s="24" t="str">
        <f ca="1" t="shared" si="11"/>
        <v/>
      </c>
      <c r="AJ32" s="24" t="str">
        <f ca="1" t="shared" si="12"/>
        <v/>
      </c>
      <c r="AK32" s="24" t="str">
        <f ca="1" t="shared" si="13"/>
        <v/>
      </c>
      <c r="AL32" s="24" t="str">
        <f ca="1" t="shared" si="14"/>
        <v/>
      </c>
      <c r="AM32" s="24" t="str">
        <f ca="1" t="shared" si="15"/>
        <v/>
      </c>
      <c r="AN32" s="24" t="str">
        <f ca="1" t="shared" si="16"/>
        <v/>
      </c>
      <c r="AO32" s="24" t="str">
        <f ca="1" t="shared" si="17"/>
        <v/>
      </c>
      <c r="AP32" s="24" t="str">
        <f ca="1" t="shared" si="18"/>
        <v/>
      </c>
    </row>
    <row r="33" spans="1:42">
      <c r="A33" s="24">
        <v>19</v>
      </c>
      <c r="B33" s="24" t="str">
        <f>tblCities!C21</f>
        <v>Beijing </v>
      </c>
      <c r="C33" s="24" t="str">
        <f t="shared" si="19"/>
        <v>Beijing PERSAF_OP</v>
      </c>
      <c r="D33" s="14">
        <f t="shared" si="0"/>
        <v>0</v>
      </c>
      <c r="E33" s="14">
        <f t="shared" si="1"/>
        <v>61.73</v>
      </c>
      <c r="F33" s="14">
        <f t="shared" si="20"/>
        <v>61.73</v>
      </c>
      <c r="G33" s="14">
        <f>IF(ISNUMBER(D33),MATCH(D33,QUARTILE($D$15:$D$64,{0,1,2,3})),0)</f>
        <v>4</v>
      </c>
      <c r="H33" s="14"/>
      <c r="I33" s="14">
        <f>RANK(F33,$F$15:$F$64)+COUNTIF(F$15:F33,F33)-1</f>
        <v>38</v>
      </c>
      <c r="J33" s="24">
        <f t="shared" si="21"/>
        <v>41</v>
      </c>
      <c r="K33" s="24">
        <f t="shared" si="2"/>
        <v>2</v>
      </c>
      <c r="L33" s="24">
        <f t="shared" si="22"/>
        <v>18</v>
      </c>
      <c r="M33" s="14" t="str">
        <f t="shared" si="23"/>
        <v>=18</v>
      </c>
      <c r="N33" s="24" t="str">
        <f t="shared" si="3"/>
        <v>Frankfurt</v>
      </c>
      <c r="O33" s="24">
        <f t="shared" si="24"/>
        <v>71.99</v>
      </c>
      <c r="P33" s="185" t="str">
        <f>IF(K33=0,"",IF(OR(AND(uxbWorks!$E$9=1,$E$2=1),AND(uxbWorks!$E$9=1,$E$2=0)),REPT("|",O33*5),REPT("|",O33/2)))</f>
        <v>|||||||||||||||||||||||||||||||||||</v>
      </c>
      <c r="Q33" s="14" t="str">
        <f t="shared" si="25"/>
        <v/>
      </c>
      <c r="S33" s="24" t="str">
        <f t="shared" si="26"/>
        <v>Frankfurt &lt;no data&gt;</v>
      </c>
      <c r="T33" s="24" t="str">
        <f t="shared" si="27"/>
        <v/>
      </c>
      <c r="U33" s="24" t="e">
        <f>IF(AND($J33=#REF!,ISNUMBER(Q33)),Q33,"")</f>
        <v>#REF!</v>
      </c>
      <c r="V33" s="24" t="str">
        <f>INDEX(iSource!$M$9:$BJ$66,$B$2,A33)</f>
        <v>EIU Calculation</v>
      </c>
      <c r="Z33" s="24">
        <f>INDEX(tblCities!$H$3:$L$52,iRankIndi!A33,uxbWorks!$B$25)</f>
        <v>1</v>
      </c>
      <c r="AB33" s="24" t="e">
        <f ca="1" t="shared" si="5"/>
        <v>#N/A</v>
      </c>
      <c r="AC33" s="24" t="e">
        <f ca="1" t="shared" si="6"/>
        <v>#N/A</v>
      </c>
      <c r="AD33" s="24" t="e">
        <f ca="1" t="shared" si="7"/>
        <v>#N/A</v>
      </c>
      <c r="AE33" s="24" t="e">
        <f ca="1" t="shared" si="8"/>
        <v>#N/A</v>
      </c>
      <c r="AF33" s="24" t="e">
        <f ca="1" t="shared" si="9"/>
        <v>#N/A</v>
      </c>
      <c r="AH33" s="24" t="str">
        <f ca="1" t="shared" si="10"/>
        <v/>
      </c>
      <c r="AI33" s="24" t="str">
        <f ca="1" t="shared" si="11"/>
        <v/>
      </c>
      <c r="AJ33" s="24" t="str">
        <f ca="1" t="shared" si="12"/>
        <v/>
      </c>
      <c r="AK33" s="24" t="str">
        <f ca="1" t="shared" si="13"/>
        <v/>
      </c>
      <c r="AL33" s="24" t="str">
        <f ca="1" t="shared" si="14"/>
        <v/>
      </c>
      <c r="AM33" s="24" t="str">
        <f ca="1" t="shared" si="15"/>
        <v/>
      </c>
      <c r="AN33" s="24" t="str">
        <f ca="1" t="shared" si="16"/>
        <v/>
      </c>
      <c r="AO33" s="24" t="str">
        <f ca="1" t="shared" si="17"/>
        <v/>
      </c>
      <c r="AP33" s="24" t="str">
        <f ca="1" t="shared" si="18"/>
        <v/>
      </c>
    </row>
    <row r="34" spans="1:26">
      <c r="A34" s="24">
        <v>20</v>
      </c>
      <c r="B34" s="24" t="str">
        <f>tblCities!C22</f>
        <v>Shanghai</v>
      </c>
      <c r="C34" s="24" t="str">
        <f t="shared" ref="C34:C38" si="28">CONCATENATE(B34,$C$2)</f>
        <v>ShanghaiPERSAF_OP</v>
      </c>
      <c r="D34" s="14">
        <f t="shared" si="0"/>
        <v>0</v>
      </c>
      <c r="E34" s="14">
        <f t="shared" si="1"/>
        <v>64.6</v>
      </c>
      <c r="F34" s="14">
        <f t="shared" si="20"/>
        <v>64.6</v>
      </c>
      <c r="G34" s="14">
        <f>IF(ISNUMBER(D34),MATCH(D34,QUARTILE($D$15:$D$64,{0,1,2,3})),0)</f>
        <v>4</v>
      </c>
      <c r="H34" s="14"/>
      <c r="I34" s="14">
        <f>RANK(F34,$F$15:$F$64)+COUNTIF(F$15:F34,F34)-1</f>
        <v>33</v>
      </c>
      <c r="J34" s="24">
        <f t="shared" si="21"/>
        <v>36</v>
      </c>
      <c r="K34" s="24">
        <f t="shared" si="2"/>
        <v>4</v>
      </c>
      <c r="L34" s="24">
        <f t="shared" si="22"/>
        <v>20</v>
      </c>
      <c r="M34" s="14">
        <f t="shared" si="23"/>
        <v>20</v>
      </c>
      <c r="N34" s="24" t="str">
        <f t="shared" si="3"/>
        <v>Doha</v>
      </c>
      <c r="O34" s="24">
        <f t="shared" si="24"/>
        <v>71.62</v>
      </c>
      <c r="P34" s="185" t="str">
        <f>IF(K34=0,"",IF(OR(AND(uxbWorks!$E$9=1,$E$2=1),AND(uxbWorks!$E$9=1,$E$2=0)),REPT("|",O34*5),REPT("|",O34/2)))</f>
        <v>|||||||||||||||||||||||||||||||||||</v>
      </c>
      <c r="Q34" s="14" t="str">
        <f t="shared" si="25"/>
        <v/>
      </c>
      <c r="S34" s="24" t="str">
        <f t="shared" si="26"/>
        <v>Doha &lt;no data&gt;</v>
      </c>
      <c r="T34" s="24" t="str">
        <f t="shared" si="27"/>
        <v/>
      </c>
      <c r="U34" s="24" t="e">
        <f>IF(AND($J34=#REF!,ISNUMBER(Q34)),Q34,"")</f>
        <v>#REF!</v>
      </c>
      <c r="V34" s="24" t="str">
        <f>INDEX(iSource!$M$9:$BJ$66,$B$2,A34)</f>
        <v>EIU Calculation</v>
      </c>
      <c r="Z34" s="24">
        <f>INDEX(tblCities!$H$3:$L$52,iRankIndi!A34,uxbWorks!$B$25)</f>
        <v>1</v>
      </c>
    </row>
    <row r="35" spans="1:26">
      <c r="A35" s="24">
        <v>21</v>
      </c>
      <c r="B35" s="24" t="str">
        <f>tblCities!C23</f>
        <v>Shenzhen</v>
      </c>
      <c r="C35" s="24" t="str">
        <f t="shared" si="28"/>
        <v>ShenzhenPERSAF_OP</v>
      </c>
      <c r="D35" s="14">
        <f t="shared" si="0"/>
        <v>0</v>
      </c>
      <c r="E35" s="14">
        <f t="shared" si="1"/>
        <v>67.5</v>
      </c>
      <c r="F35" s="14">
        <f t="shared" si="20"/>
        <v>67.5</v>
      </c>
      <c r="G35" s="14">
        <f>IF(ISNUMBER(D35),MATCH(D35,QUARTILE($D$15:$D$64,{0,1,2,3})),0)</f>
        <v>4</v>
      </c>
      <c r="H35" s="14"/>
      <c r="I35" s="14">
        <f>RANK(F35,$F$15:$F$64)+COUNTIF(F$15:F35,F35)-1</f>
        <v>28</v>
      </c>
      <c r="J35" s="24">
        <f t="shared" si="21"/>
        <v>17</v>
      </c>
      <c r="K35" s="24">
        <f t="shared" si="2"/>
        <v>2</v>
      </c>
      <c r="L35" s="24">
        <f t="shared" si="22"/>
        <v>21</v>
      </c>
      <c r="M35" s="14">
        <f t="shared" si="23"/>
        <v>21</v>
      </c>
      <c r="N35" s="24" t="str">
        <f t="shared" si="3"/>
        <v>Melbourne</v>
      </c>
      <c r="O35" s="24">
        <f t="shared" si="24"/>
        <v>70.44</v>
      </c>
      <c r="P35" s="185" t="str">
        <f>IF(K35=0,"",IF(OR(AND(uxbWorks!$E$9=1,$E$2=1),AND(uxbWorks!$E$9=1,$E$2=0)),REPT("|",O35*5),REPT("|",O35/2)))</f>
        <v>|||||||||||||||||||||||||||||||||||</v>
      </c>
      <c r="Q35" s="14" t="str">
        <f t="shared" si="25"/>
        <v/>
      </c>
      <c r="S35" s="24" t="str">
        <f t="shared" si="26"/>
        <v>Melbourne &lt;no data&gt;</v>
      </c>
      <c r="T35" s="24" t="str">
        <f t="shared" si="27"/>
        <v/>
      </c>
      <c r="U35" s="24" t="e">
        <f>IF(AND($J35=#REF!,ISNUMBER(Q35)),Q35,"")</f>
        <v>#REF!</v>
      </c>
      <c r="V35" s="24" t="str">
        <f>INDEX(iSource!$M$9:$BJ$66,$B$2,A35)</f>
        <v>EIU Calculation</v>
      </c>
      <c r="Z35" s="24">
        <f>INDEX(tblCities!$H$3:$L$52,iRankIndi!A35,uxbWorks!$B$25)</f>
        <v>1</v>
      </c>
    </row>
    <row r="36" spans="1:26">
      <c r="A36" s="24">
        <v>22</v>
      </c>
      <c r="B36" s="24" t="str">
        <f>tblCities!C24</f>
        <v>Guangzhou</v>
      </c>
      <c r="C36" s="24" t="str">
        <f t="shared" si="28"/>
        <v>GuangzhouPERSAF_OP</v>
      </c>
      <c r="D36" s="14">
        <f t="shared" si="0"/>
        <v>0</v>
      </c>
      <c r="E36" s="14">
        <f t="shared" si="1"/>
        <v>62.3</v>
      </c>
      <c r="F36" s="14">
        <f t="shared" si="20"/>
        <v>62.3</v>
      </c>
      <c r="G36" s="14">
        <f>IF(ISNUMBER(D36),MATCH(D36,QUARTILE($D$15:$D$64,{0,1,2,3})),0)</f>
        <v>4</v>
      </c>
      <c r="H36" s="14"/>
      <c r="I36" s="14">
        <f>RANK(F36,$F$15:$F$64)+COUNTIF(F$15:F36,F36)-1</f>
        <v>36</v>
      </c>
      <c r="J36" s="24">
        <f t="shared" si="21"/>
        <v>25</v>
      </c>
      <c r="K36" s="24">
        <f t="shared" si="2"/>
        <v>2</v>
      </c>
      <c r="L36" s="24">
        <f t="shared" si="22"/>
        <v>22</v>
      </c>
      <c r="M36" s="14">
        <f t="shared" si="23"/>
        <v>22</v>
      </c>
      <c r="N36" s="24" t="str">
        <f t="shared" si="3"/>
        <v>Delhi</v>
      </c>
      <c r="O36" s="24">
        <f t="shared" si="24"/>
        <v>70.16</v>
      </c>
      <c r="P36" s="185" t="str">
        <f>IF(K36=0,"",IF(OR(AND(uxbWorks!$E$9=1,$E$2=1),AND(uxbWorks!$E$9=1,$E$2=0)),REPT("|",O36*5),REPT("|",O36/2)))</f>
        <v>|||||||||||||||||||||||||||||||||||</v>
      </c>
      <c r="Q36" s="14" t="str">
        <f t="shared" si="25"/>
        <v/>
      </c>
      <c r="S36" s="24" t="str">
        <f t="shared" si="26"/>
        <v>Delhi &lt;no data&gt;</v>
      </c>
      <c r="T36" s="24" t="str">
        <f t="shared" si="27"/>
        <v/>
      </c>
      <c r="U36" s="24" t="e">
        <f>IF(AND($J36=#REF!,ISNUMBER(Q36)),Q36,"")</f>
        <v>#REF!</v>
      </c>
      <c r="V36" s="24" t="str">
        <f>INDEX(iSource!$M$9:$BJ$66,$B$2,A36)</f>
        <v>EIU Calculation</v>
      </c>
      <c r="Z36" s="24">
        <f>INDEX(tblCities!$H$3:$L$52,iRankIndi!A36,uxbWorks!$B$25)</f>
        <v>1</v>
      </c>
    </row>
    <row r="37" spans="1:26">
      <c r="A37" s="24">
        <v>23</v>
      </c>
      <c r="B37" s="24" t="str">
        <f>tblCities!C25</f>
        <v>Tianjin</v>
      </c>
      <c r="C37" s="24" t="str">
        <f t="shared" si="28"/>
        <v>TianjinPERSAF_OP</v>
      </c>
      <c r="D37" s="14">
        <f t="shared" si="0"/>
        <v>0</v>
      </c>
      <c r="E37" s="14">
        <f t="shared" si="1"/>
        <v>68.49</v>
      </c>
      <c r="F37" s="14">
        <f t="shared" si="20"/>
        <v>68.49</v>
      </c>
      <c r="G37" s="14">
        <f>IF(ISNUMBER(D37),MATCH(D37,QUARTILE($D$15:$D$64,{0,1,2,3})),0)</f>
        <v>4</v>
      </c>
      <c r="H37" s="14"/>
      <c r="I37" s="14">
        <f>RANK(F37,$F$15:$F$64)+COUNTIF(F$15:F37,F37)-1</f>
        <v>25</v>
      </c>
      <c r="J37" s="24">
        <f t="shared" si="21"/>
        <v>40</v>
      </c>
      <c r="K37" s="24">
        <f t="shared" si="2"/>
        <v>2</v>
      </c>
      <c r="L37" s="24">
        <f t="shared" si="22"/>
        <v>23</v>
      </c>
      <c r="M37" s="14">
        <f t="shared" si="23"/>
        <v>23</v>
      </c>
      <c r="N37" s="24" t="str">
        <f t="shared" si="3"/>
        <v>Paris</v>
      </c>
      <c r="O37" s="24">
        <f t="shared" si="24"/>
        <v>69.48</v>
      </c>
      <c r="P37" s="185" t="str">
        <f>IF(K37=0,"",IF(OR(AND(uxbWorks!$E$9=1,$E$2=1),AND(uxbWorks!$E$9=1,$E$2=0)),REPT("|",O37*5),REPT("|",O37/2)))</f>
        <v>||||||||||||||||||||||||||||||||||</v>
      </c>
      <c r="Q37" s="14" t="str">
        <f t="shared" si="25"/>
        <v/>
      </c>
      <c r="S37" s="24" t="str">
        <f t="shared" si="26"/>
        <v>Paris &lt;no data&gt;</v>
      </c>
      <c r="T37" s="24" t="str">
        <f t="shared" si="27"/>
        <v/>
      </c>
      <c r="U37" s="24" t="e">
        <f>IF(AND($J37=#REF!,ISNUMBER(Q37)),Q37,"")</f>
        <v>#REF!</v>
      </c>
      <c r="V37" s="24" t="str">
        <f>INDEX(iSource!$M$9:$BJ$66,$B$2,A37)</f>
        <v>EIU Calculation</v>
      </c>
      <c r="Z37" s="24">
        <f>INDEX(tblCities!$H$3:$L$52,iRankIndi!A37,uxbWorks!$B$25)</f>
        <v>1</v>
      </c>
    </row>
    <row r="38" spans="1:26">
      <c r="A38" s="24">
        <v>24</v>
      </c>
      <c r="B38" s="24" t="str">
        <f>tblCities!C26</f>
        <v>Mumbai</v>
      </c>
      <c r="C38" s="24" t="str">
        <f t="shared" si="28"/>
        <v>MumbaiPERSAF_OP</v>
      </c>
      <c r="D38" s="14">
        <f t="shared" si="0"/>
        <v>0</v>
      </c>
      <c r="E38" s="14">
        <f t="shared" si="1"/>
        <v>71.99</v>
      </c>
      <c r="F38" s="14">
        <f t="shared" si="20"/>
        <v>71.99</v>
      </c>
      <c r="G38" s="14">
        <f>IF(ISNUMBER(D38),MATCH(D38,QUARTILE($D$15:$D$64,{0,1,2,3})),0)</f>
        <v>4</v>
      </c>
      <c r="H38" s="14"/>
      <c r="I38" s="14">
        <f>RANK(F38,$F$15:$F$64)+COUNTIF(F$15:F38,F38)-1</f>
        <v>18</v>
      </c>
      <c r="J38" s="24">
        <f t="shared" si="21"/>
        <v>12</v>
      </c>
      <c r="K38" s="24">
        <f t="shared" si="2"/>
        <v>2</v>
      </c>
      <c r="L38" s="24">
        <f t="shared" si="22"/>
        <v>24</v>
      </c>
      <c r="M38" s="14">
        <f t="shared" si="23"/>
        <v>24</v>
      </c>
      <c r="N38" s="24" t="str">
        <f t="shared" si="3"/>
        <v>Lima</v>
      </c>
      <c r="O38" s="24">
        <f t="shared" si="24"/>
        <v>69.14</v>
      </c>
      <c r="P38" s="185" t="str">
        <f>IF(K38=0,"",IF(OR(AND(uxbWorks!$E$9=1,$E$2=1),AND(uxbWorks!$E$9=1,$E$2=0)),REPT("|",O38*5),REPT("|",O38/2)))</f>
        <v>||||||||||||||||||||||||||||||||||</v>
      </c>
      <c r="Q38" s="14" t="str">
        <f t="shared" si="25"/>
        <v/>
      </c>
      <c r="S38" s="24" t="str">
        <f t="shared" si="26"/>
        <v>Lima &lt;no data&gt;</v>
      </c>
      <c r="T38" s="24" t="str">
        <f t="shared" si="27"/>
        <v/>
      </c>
      <c r="U38" s="24" t="e">
        <f>IF(AND($J38=#REF!,ISNUMBER(Q38)),Q38,"")</f>
        <v>#REF!</v>
      </c>
      <c r="V38" s="24" t="str">
        <f>INDEX(iSource!$M$9:$BJ$66,$B$2,A38)</f>
        <v>EIU Calculation</v>
      </c>
      <c r="Z38" s="24">
        <f>INDEX(tblCities!$H$3:$L$52,iRankIndi!A38,uxbWorks!$B$25)</f>
        <v>1</v>
      </c>
    </row>
    <row r="39" spans="1:26">
      <c r="A39" s="24">
        <v>25</v>
      </c>
      <c r="B39" s="24" t="str">
        <f>tblCities!C27</f>
        <v>Delhi</v>
      </c>
      <c r="C39" s="24" t="str">
        <f t="shared" ref="C39:C64" si="29">CONCATENATE(B39,$C$2)</f>
        <v>DelhiPERSAF_OP</v>
      </c>
      <c r="D39" s="14">
        <f t="shared" si="0"/>
        <v>0</v>
      </c>
      <c r="E39" s="14">
        <f t="shared" si="1"/>
        <v>70.16</v>
      </c>
      <c r="F39" s="14">
        <f t="shared" ref="F39:F64" si="30">E39</f>
        <v>70.16</v>
      </c>
      <c r="G39" s="14">
        <f>IF(ISNUMBER(D39),MATCH(D39,QUARTILE($D$15:$D$64,{0,1,2,3})),0)</f>
        <v>4</v>
      </c>
      <c r="H39" s="14"/>
      <c r="I39" s="14">
        <f>RANK(F39,$F$15:$F$64)+COUNTIF(F$15:F39,F39)-1</f>
        <v>22</v>
      </c>
      <c r="J39" s="24">
        <f t="shared" si="21"/>
        <v>23</v>
      </c>
      <c r="K39" s="24">
        <f t="shared" si="2"/>
        <v>2</v>
      </c>
      <c r="L39" s="24">
        <f t="shared" ref="L39:L64" si="31">INDEX(aRankedScores,$B$2,J39)</f>
        <v>25</v>
      </c>
      <c r="M39" s="14">
        <f t="shared" si="23"/>
        <v>25</v>
      </c>
      <c r="N39" s="24" t="str">
        <f t="shared" si="3"/>
        <v>Tianjin</v>
      </c>
      <c r="O39" s="24">
        <f t="shared" si="24"/>
        <v>68.49</v>
      </c>
      <c r="P39" s="185" t="str">
        <f>IF(K39=0,"",IF(OR(AND(uxbWorks!$E$9=1,$E$2=1),AND(uxbWorks!$E$9=1,$E$2=0)),REPT("|",O39*5),REPT("|",O39/2)))</f>
        <v>||||||||||||||||||||||||||||||||||</v>
      </c>
      <c r="Q39" s="14" t="str">
        <f t="shared" si="25"/>
        <v/>
      </c>
      <c r="S39" s="24" t="str">
        <f t="shared" ref="S39:S64" si="32">IF(ISNUMBER(Q39),N39,CONCATENATE(N39," &lt;no data&gt;"))</f>
        <v>Tianjin &lt;no data&gt;</v>
      </c>
      <c r="T39" s="24" t="str">
        <f t="shared" ref="T39:T64" si="33">IF(ISNUMBER(Q39),Q39,"")</f>
        <v/>
      </c>
      <c r="U39" s="24" t="e">
        <f>IF(AND($J39=#REF!,ISNUMBER(Q39)),Q39,"")</f>
        <v>#REF!</v>
      </c>
      <c r="V39" s="24" t="str">
        <f>INDEX(iSource!$M$9:$BJ$66,$B$2,A39)</f>
        <v>EIU Calculation</v>
      </c>
      <c r="Z39" s="24">
        <f>INDEX(tblCities!$H$3:$L$52,iRankIndi!A39,uxbWorks!$B$25)</f>
        <v>1</v>
      </c>
    </row>
    <row r="40" spans="1:26">
      <c r="A40" s="24">
        <v>26</v>
      </c>
      <c r="B40" s="24" t="str">
        <f>tblCities!C28</f>
        <v>Jakarta</v>
      </c>
      <c r="C40" s="24" t="str">
        <f t="shared" si="29"/>
        <v>JakartaPERSAF_OP</v>
      </c>
      <c r="D40" s="14">
        <f t="shared" si="0"/>
        <v>0</v>
      </c>
      <c r="E40" s="14">
        <f t="shared" si="1"/>
        <v>62.28</v>
      </c>
      <c r="F40" s="14">
        <f t="shared" si="30"/>
        <v>62.28</v>
      </c>
      <c r="G40" s="14">
        <f>IF(ISNUMBER(D40),MATCH(D40,QUARTILE($D$15:$D$64,{0,1,2,3})),0)</f>
        <v>4</v>
      </c>
      <c r="H40" s="14"/>
      <c r="I40" s="14">
        <f>RANK(F40,$F$15:$F$64)+COUNTIF(F$15:F40,F40)-1</f>
        <v>37</v>
      </c>
      <c r="J40" s="24">
        <f t="shared" si="21"/>
        <v>43</v>
      </c>
      <c r="K40" s="24">
        <f t="shared" si="2"/>
        <v>2</v>
      </c>
      <c r="L40" s="24">
        <f t="shared" si="31"/>
        <v>26</v>
      </c>
      <c r="M40" s="14">
        <f t="shared" si="23"/>
        <v>26</v>
      </c>
      <c r="N40" s="24" t="str">
        <f t="shared" si="3"/>
        <v>Milan</v>
      </c>
      <c r="O40" s="24">
        <f t="shared" si="24"/>
        <v>68.4</v>
      </c>
      <c r="P40" s="185" t="str">
        <f>IF(K40=0,"",IF(OR(AND(uxbWorks!$E$9=1,$E$2=1),AND(uxbWorks!$E$9=1,$E$2=0)),REPT("|",O40*5),REPT("|",O40/2)))</f>
        <v>||||||||||||||||||||||||||||||||||</v>
      </c>
      <c r="Q40" s="14" t="str">
        <f t="shared" si="25"/>
        <v/>
      </c>
      <c r="S40" s="24" t="str">
        <f t="shared" si="32"/>
        <v>Milan &lt;no data&gt;</v>
      </c>
      <c r="T40" s="24" t="str">
        <f t="shared" si="33"/>
        <v/>
      </c>
      <c r="U40" s="24" t="e">
        <f>IF(AND($J40=#REF!,ISNUMBER(Q40)),Q40,"")</f>
        <v>#REF!</v>
      </c>
      <c r="V40" s="24" t="str">
        <f>INDEX(iSource!$M$9:$BJ$66,$B$2,A40)</f>
        <v>EIU Calculation</v>
      </c>
      <c r="Z40" s="24">
        <f>INDEX(tblCities!$H$3:$L$52,iRankIndi!A40,uxbWorks!$B$25)</f>
        <v>1</v>
      </c>
    </row>
    <row r="41" spans="1:26">
      <c r="A41" s="24">
        <v>27</v>
      </c>
      <c r="B41" s="24" t="str">
        <f>tblCities!C29</f>
        <v>Tehran</v>
      </c>
      <c r="C41" s="24" t="str">
        <f t="shared" si="29"/>
        <v>TehranPERSAF_OP</v>
      </c>
      <c r="D41" s="14">
        <f t="shared" si="0"/>
        <v>0</v>
      </c>
      <c r="E41" s="14">
        <f t="shared" si="1"/>
        <v>66.51</v>
      </c>
      <c r="F41" s="14">
        <f t="shared" si="30"/>
        <v>66.51</v>
      </c>
      <c r="G41" s="14">
        <f>IF(ISNUMBER(D41),MATCH(D41,QUARTILE($D$15:$D$64,{0,1,2,3})),0)</f>
        <v>4</v>
      </c>
      <c r="H41" s="14"/>
      <c r="I41" s="14">
        <f>RANK(F41,$F$15:$F$64)+COUNTIF(F$15:F41,F41)-1</f>
        <v>30</v>
      </c>
      <c r="J41" s="24">
        <f t="shared" si="21"/>
        <v>49</v>
      </c>
      <c r="K41" s="24">
        <f t="shared" si="2"/>
        <v>2</v>
      </c>
      <c r="L41" s="24">
        <f t="shared" si="31"/>
        <v>27</v>
      </c>
      <c r="M41" s="14">
        <f t="shared" si="23"/>
        <v>27</v>
      </c>
      <c r="N41" s="24" t="str">
        <f t="shared" si="3"/>
        <v>Istanbul</v>
      </c>
      <c r="O41" s="24">
        <f t="shared" si="24"/>
        <v>67.64</v>
      </c>
      <c r="P41" s="185" t="str">
        <f>IF(K41=0,"",IF(OR(AND(uxbWorks!$E$9=1,$E$2=1),AND(uxbWorks!$E$9=1,$E$2=0)),REPT("|",O41*5),REPT("|",O41/2)))</f>
        <v>|||||||||||||||||||||||||||||||||</v>
      </c>
      <c r="Q41" s="14" t="str">
        <f t="shared" si="25"/>
        <v/>
      </c>
      <c r="S41" s="24" t="str">
        <f t="shared" si="32"/>
        <v>Istanbul &lt;no data&gt;</v>
      </c>
      <c r="T41" s="24" t="str">
        <f t="shared" si="33"/>
        <v/>
      </c>
      <c r="U41" s="24" t="e">
        <f>IF(AND($J41=#REF!,ISNUMBER(Q41)),Q41,"")</f>
        <v>#REF!</v>
      </c>
      <c r="V41" s="24" t="str">
        <f>INDEX(iSource!$M$9:$BJ$66,$B$2,A41)</f>
        <v>EIU Calculation</v>
      </c>
      <c r="Z41" s="24">
        <f>INDEX(tblCities!$H$3:$L$52,iRankIndi!A41,uxbWorks!$B$25)</f>
        <v>1</v>
      </c>
    </row>
    <row r="42" spans="1:26">
      <c r="A42" s="24">
        <v>28</v>
      </c>
      <c r="B42" s="24" t="str">
        <f>tblCities!C30</f>
        <v>Tokyo</v>
      </c>
      <c r="C42" s="24" t="str">
        <f t="shared" si="29"/>
        <v>TokyoPERSAF_OP</v>
      </c>
      <c r="D42" s="14">
        <f t="shared" si="0"/>
        <v>0</v>
      </c>
      <c r="E42" s="14">
        <f t="shared" si="1"/>
        <v>82.42</v>
      </c>
      <c r="F42" s="14">
        <f t="shared" si="30"/>
        <v>82.42</v>
      </c>
      <c r="G42" s="14">
        <f>IF(ISNUMBER(D42),MATCH(D42,QUARTILE($D$15:$D$64,{0,1,2,3})),0)</f>
        <v>4</v>
      </c>
      <c r="H42" s="14"/>
      <c r="I42" s="14">
        <f>RANK(F42,$F$15:$F$64)+COUNTIF(F$15:F42,F42)-1</f>
        <v>7</v>
      </c>
      <c r="J42" s="24">
        <f t="shared" si="21"/>
        <v>21</v>
      </c>
      <c r="K42" s="24">
        <f t="shared" si="2"/>
        <v>2</v>
      </c>
      <c r="L42" s="24">
        <f t="shared" si="31"/>
        <v>28</v>
      </c>
      <c r="M42" s="14">
        <f t="shared" si="23"/>
        <v>28</v>
      </c>
      <c r="N42" s="24" t="str">
        <f t="shared" si="3"/>
        <v>Shenzhen</v>
      </c>
      <c r="O42" s="24">
        <f t="shared" si="24"/>
        <v>67.5</v>
      </c>
      <c r="P42" s="185" t="str">
        <f>IF(K42=0,"",IF(OR(AND(uxbWorks!$E$9=1,$E$2=1),AND(uxbWorks!$E$9=1,$E$2=0)),REPT("|",O42*5),REPT("|",O42/2)))</f>
        <v>|||||||||||||||||||||||||||||||||</v>
      </c>
      <c r="Q42" s="14" t="str">
        <f t="shared" si="25"/>
        <v/>
      </c>
      <c r="S42" s="24" t="str">
        <f t="shared" si="32"/>
        <v>Shenzhen &lt;no data&gt;</v>
      </c>
      <c r="T42" s="24" t="str">
        <f t="shared" si="33"/>
        <v/>
      </c>
      <c r="U42" s="24" t="e">
        <f>IF(AND($J42=#REF!,ISNUMBER(Q42)),Q42,"")</f>
        <v>#REF!</v>
      </c>
      <c r="V42" s="24" t="str">
        <f>INDEX(iSource!$M$9:$BJ$66,$B$2,A42)</f>
        <v>EIU Calculation</v>
      </c>
      <c r="Z42" s="24">
        <f>INDEX(tblCities!$H$3:$L$52,iRankIndi!A42,uxbWorks!$B$25)</f>
        <v>1</v>
      </c>
    </row>
    <row r="43" spans="1:26">
      <c r="A43" s="24">
        <v>29</v>
      </c>
      <c r="B43" s="24" t="str">
        <f>tblCities!C31</f>
        <v>Osaka</v>
      </c>
      <c r="C43" s="24" t="str">
        <f t="shared" si="29"/>
        <v>OsakaPERSAF_OP</v>
      </c>
      <c r="D43" s="14">
        <f t="shared" si="0"/>
        <v>0</v>
      </c>
      <c r="E43" s="14">
        <f t="shared" si="1"/>
        <v>84.2</v>
      </c>
      <c r="F43" s="14">
        <f t="shared" si="30"/>
        <v>84.2</v>
      </c>
      <c r="G43" s="14">
        <f>IF(ISNUMBER(D43),MATCH(D43,QUARTILE($D$15:$D$64,{0,1,2,3})),0)</f>
        <v>4</v>
      </c>
      <c r="H43" s="14"/>
      <c r="I43" s="14">
        <f>RANK(F43,$F$15:$F$64)+COUNTIF(F$15:F43,F43)-1</f>
        <v>6</v>
      </c>
      <c r="J43" s="24">
        <f t="shared" si="21"/>
        <v>33</v>
      </c>
      <c r="K43" s="24">
        <f t="shared" si="2"/>
        <v>2</v>
      </c>
      <c r="L43" s="24">
        <f t="shared" si="31"/>
        <v>29</v>
      </c>
      <c r="M43" s="14">
        <f t="shared" si="23"/>
        <v>29</v>
      </c>
      <c r="N43" s="24" t="str">
        <f t="shared" si="3"/>
        <v>Bangkok</v>
      </c>
      <c r="O43" s="24">
        <f t="shared" si="24"/>
        <v>67.18</v>
      </c>
      <c r="P43" s="185" t="str">
        <f>IF(K43=0,"",IF(OR(AND(uxbWorks!$E$9=1,$E$2=1),AND(uxbWorks!$E$9=1,$E$2=0)),REPT("|",O43*5),REPT("|",O43/2)))</f>
        <v>|||||||||||||||||||||||||||||||||</v>
      </c>
      <c r="Q43" s="14" t="str">
        <f t="shared" si="25"/>
        <v/>
      </c>
      <c r="S43" s="24" t="str">
        <f t="shared" si="32"/>
        <v>Bangkok &lt;no data&gt;</v>
      </c>
      <c r="T43" s="24" t="str">
        <f t="shared" si="33"/>
        <v/>
      </c>
      <c r="U43" s="24" t="e">
        <f>IF(AND($J43=#REF!,ISNUMBER(Q43)),Q43,"")</f>
        <v>#REF!</v>
      </c>
      <c r="V43" s="24" t="str">
        <f>INDEX(iSource!$M$9:$BJ$66,$B$2,A43)</f>
        <v>EIU Calculation</v>
      </c>
      <c r="Z43" s="24">
        <f>INDEX(tblCities!$H$3:$L$52,iRankIndi!A43,uxbWorks!$B$25)</f>
        <v>1</v>
      </c>
    </row>
    <row r="44" spans="1:26">
      <c r="A44" s="24">
        <v>30</v>
      </c>
      <c r="B44" s="24" t="str">
        <f>tblCities!C32</f>
        <v>Singapore</v>
      </c>
      <c r="C44" s="24" t="str">
        <f t="shared" si="29"/>
        <v>SingaporePERSAF_OP</v>
      </c>
      <c r="D44" s="14">
        <f t="shared" si="0"/>
        <v>0</v>
      </c>
      <c r="E44" s="14">
        <f t="shared" si="1"/>
        <v>86.08</v>
      </c>
      <c r="F44" s="14">
        <f t="shared" si="30"/>
        <v>86.08</v>
      </c>
      <c r="G44" s="14">
        <f>IF(ISNUMBER(D44),MATCH(D44,QUARTILE($D$15:$D$64,{0,1,2,3})),0)</f>
        <v>4</v>
      </c>
      <c r="H44" s="14"/>
      <c r="I44" s="14">
        <f>RANK(F44,$F$15:$F$64)+COUNTIF(F$15:F44,F44)-1</f>
        <v>2</v>
      </c>
      <c r="J44" s="24">
        <f t="shared" si="21"/>
        <v>27</v>
      </c>
      <c r="K44" s="24">
        <f t="shared" si="2"/>
        <v>2</v>
      </c>
      <c r="L44" s="24">
        <f t="shared" si="31"/>
        <v>30</v>
      </c>
      <c r="M44" s="14">
        <f t="shared" si="23"/>
        <v>30</v>
      </c>
      <c r="N44" s="24" t="str">
        <f t="shared" si="3"/>
        <v>Tehran</v>
      </c>
      <c r="O44" s="24">
        <f t="shared" si="24"/>
        <v>66.51</v>
      </c>
      <c r="P44" s="185" t="str">
        <f>IF(K44=0,"",IF(OR(AND(uxbWorks!$E$9=1,$E$2=1),AND(uxbWorks!$E$9=1,$E$2=0)),REPT("|",O44*5),REPT("|",O44/2)))</f>
        <v>|||||||||||||||||||||||||||||||||</v>
      </c>
      <c r="Q44" s="14" t="str">
        <f t="shared" si="25"/>
        <v/>
      </c>
      <c r="S44" s="24" t="str">
        <f t="shared" si="32"/>
        <v>Tehran &lt;no data&gt;</v>
      </c>
      <c r="T44" s="24" t="str">
        <f t="shared" si="33"/>
        <v/>
      </c>
      <c r="U44" s="24" t="e">
        <f>IF(AND($J44=#REF!,ISNUMBER(Q44)),Q44,"")</f>
        <v>#REF!</v>
      </c>
      <c r="V44" s="24" t="str">
        <f>INDEX(iSource!$M$9:$BJ$66,$B$2,A44)</f>
        <v>EIU Calculation</v>
      </c>
      <c r="Z44" s="24">
        <f>INDEX(tblCities!$H$3:$L$52,iRankIndi!A44,uxbWorks!$B$25)</f>
        <v>1</v>
      </c>
    </row>
    <row r="45" spans="1:26">
      <c r="A45" s="24">
        <v>31</v>
      </c>
      <c r="B45" s="24" t="str">
        <f>tblCities!C33</f>
        <v>Seoul</v>
      </c>
      <c r="C45" s="24" t="str">
        <f t="shared" si="29"/>
        <v>SeoulPERSAF_OP</v>
      </c>
      <c r="D45" s="14">
        <f t="shared" si="0"/>
        <v>0</v>
      </c>
      <c r="E45" s="14">
        <f t="shared" si="1"/>
        <v>77.95</v>
      </c>
      <c r="F45" s="14">
        <f t="shared" si="30"/>
        <v>77.95</v>
      </c>
      <c r="G45" s="14">
        <f>IF(ISNUMBER(D45),MATCH(D45,QUARTILE($D$15:$D$64,{0,1,2,3})),0)</f>
        <v>4</v>
      </c>
      <c r="H45" s="14"/>
      <c r="I45" s="14">
        <f>RANK(F45,$F$15:$F$64)+COUNTIF(F$15:F45,F45)-1</f>
        <v>9</v>
      </c>
      <c r="J45" s="24">
        <f t="shared" si="21"/>
        <v>16</v>
      </c>
      <c r="K45" s="24">
        <f t="shared" si="2"/>
        <v>2</v>
      </c>
      <c r="L45" s="24">
        <f t="shared" si="31"/>
        <v>31</v>
      </c>
      <c r="M45" s="14">
        <f t="shared" si="23"/>
        <v>31</v>
      </c>
      <c r="N45" s="24" t="str">
        <f t="shared" si="3"/>
        <v>Sydney</v>
      </c>
      <c r="O45" s="24">
        <f t="shared" si="24"/>
        <v>65.81</v>
      </c>
      <c r="P45" s="185" t="str">
        <f>IF(K45=0,"",IF(OR(AND(uxbWorks!$E$9=1,$E$2=1),AND(uxbWorks!$E$9=1,$E$2=0)),REPT("|",O45*5),REPT("|",O45/2)))</f>
        <v>||||||||||||||||||||||||||||||||</v>
      </c>
      <c r="Q45" s="14" t="str">
        <f t="shared" si="25"/>
        <v/>
      </c>
      <c r="S45" s="24" t="str">
        <f t="shared" si="32"/>
        <v>Sydney &lt;no data&gt;</v>
      </c>
      <c r="T45" s="24" t="str">
        <f t="shared" si="33"/>
        <v/>
      </c>
      <c r="U45" s="24" t="e">
        <f>IF(AND($J45=#REF!,ISNUMBER(Q45)),Q45,"")</f>
        <v>#REF!</v>
      </c>
      <c r="V45" s="24" t="str">
        <f>INDEX(iSource!$M$9:$BJ$66,$B$2,A45)</f>
        <v>EIU Calculation</v>
      </c>
      <c r="Z45" s="24">
        <f>INDEX(tblCities!$H$3:$L$52,iRankIndi!A45,uxbWorks!$B$25)</f>
        <v>1</v>
      </c>
    </row>
    <row r="46" spans="1:26">
      <c r="A46" s="24">
        <v>32</v>
      </c>
      <c r="B46" s="24" t="str">
        <f>tblCities!C34</f>
        <v>Taipei</v>
      </c>
      <c r="C46" s="24" t="str">
        <f t="shared" si="29"/>
        <v>TaipeiPERSAF_OP</v>
      </c>
      <c r="D46" s="14">
        <f t="shared" si="0"/>
        <v>0</v>
      </c>
      <c r="E46" s="14">
        <f t="shared" si="1"/>
        <v>76.82</v>
      </c>
      <c r="F46" s="14">
        <f t="shared" si="30"/>
        <v>76.82</v>
      </c>
      <c r="G46" s="14">
        <f>IF(ISNUMBER(D46),MATCH(D46,QUARTILE($D$15:$D$64,{0,1,2,3})),0)</f>
        <v>4</v>
      </c>
      <c r="H46" s="14"/>
      <c r="I46" s="14">
        <f>RANK(F46,$F$15:$F$64)+COUNTIF(F$15:F46,F46)-1</f>
        <v>11</v>
      </c>
      <c r="J46" s="24">
        <f t="shared" si="21"/>
        <v>47</v>
      </c>
      <c r="K46" s="24">
        <f t="shared" si="2"/>
        <v>2</v>
      </c>
      <c r="L46" s="24">
        <f t="shared" si="31"/>
        <v>32</v>
      </c>
      <c r="M46" s="14">
        <f t="shared" si="23"/>
        <v>32</v>
      </c>
      <c r="N46" s="24" t="str">
        <f t="shared" si="3"/>
        <v>Barcelona</v>
      </c>
      <c r="O46" s="24">
        <f t="shared" si="24"/>
        <v>65.3</v>
      </c>
      <c r="P46" s="185" t="str">
        <f>IF(K46=0,"",IF(OR(AND(uxbWorks!$E$9=1,$E$2=1),AND(uxbWorks!$E$9=1,$E$2=0)),REPT("|",O46*5),REPT("|",O46/2)))</f>
        <v>||||||||||||||||||||||||||||||||</v>
      </c>
      <c r="Q46" s="14" t="str">
        <f t="shared" si="25"/>
        <v/>
      </c>
      <c r="S46" s="24" t="str">
        <f t="shared" si="32"/>
        <v>Barcelona &lt;no data&gt;</v>
      </c>
      <c r="T46" s="24" t="str">
        <f t="shared" si="33"/>
        <v/>
      </c>
      <c r="U46" s="24" t="e">
        <f>IF(AND($J46=#REF!,ISNUMBER(Q46)),Q46,"")</f>
        <v>#REF!</v>
      </c>
      <c r="V46" s="24" t="str">
        <f>INDEX(iSource!$M$9:$BJ$66,$B$2,A46)</f>
        <v>EIU Calculation</v>
      </c>
      <c r="Z46" s="24">
        <f>INDEX(tblCities!$H$3:$L$52,iRankIndi!A46,uxbWorks!$B$25)</f>
        <v>1</v>
      </c>
    </row>
    <row r="47" spans="1:26">
      <c r="A47" s="24">
        <v>33</v>
      </c>
      <c r="B47" s="24" t="str">
        <f>tblCities!C35</f>
        <v>Bangkok</v>
      </c>
      <c r="C47" s="24" t="str">
        <f t="shared" si="29"/>
        <v>BangkokPERSAF_OP</v>
      </c>
      <c r="D47" s="14">
        <f t="shared" ref="D47:D64" si="34">IF(Z47=1,INDEX(aData,$B$2,$A47),"")</f>
        <v>0</v>
      </c>
      <c r="E47" s="14">
        <f t="shared" ref="E47:E64" si="35">IF(Z47=1,INDEX(aRoundedScores,$B$2,$A47),"")</f>
        <v>67.18</v>
      </c>
      <c r="F47" s="14">
        <f t="shared" si="30"/>
        <v>67.18</v>
      </c>
      <c r="G47" s="14">
        <f>IF(ISNUMBER(D47),MATCH(D47,QUARTILE($D$15:$D$64,{0,1,2,3})),0)</f>
        <v>4</v>
      </c>
      <c r="H47" s="14"/>
      <c r="I47" s="14">
        <f>RANK(F47,$F$15:$F$64)+COUNTIF(F$15:F47,F47)-1</f>
        <v>29</v>
      </c>
      <c r="J47" s="24">
        <f t="shared" si="21"/>
        <v>20</v>
      </c>
      <c r="K47" s="24">
        <f t="shared" ref="K47:K64" si="36">IF(ISNA(INDEX(luCountryStatus,J47)),0,INDEX(luCountryStatus,J47))</f>
        <v>2</v>
      </c>
      <c r="L47" s="24">
        <f t="shared" si="31"/>
        <v>33</v>
      </c>
      <c r="M47" s="14">
        <f t="shared" si="23"/>
        <v>33</v>
      </c>
      <c r="N47" s="24" t="str">
        <f t="shared" ref="N47:N64" si="37">IF(K47=0,"",INDEX(luCountry,$J47))</f>
        <v>Shanghai</v>
      </c>
      <c r="O47" s="24">
        <f t="shared" si="24"/>
        <v>64.6</v>
      </c>
      <c r="P47" s="185" t="str">
        <f>IF(K47=0,"",IF(OR(AND(uxbWorks!$E$9=1,$E$2=1),AND(uxbWorks!$E$9=1,$E$2=0)),REPT("|",O47*5),REPT("|",O47/2)))</f>
        <v>||||||||||||||||||||||||||||||||</v>
      </c>
      <c r="Q47" s="14" t="str">
        <f t="shared" si="25"/>
        <v/>
      </c>
      <c r="S47" s="24" t="str">
        <f t="shared" si="32"/>
        <v>Shanghai &lt;no data&gt;</v>
      </c>
      <c r="T47" s="24" t="str">
        <f t="shared" si="33"/>
        <v/>
      </c>
      <c r="U47" s="24" t="e">
        <f>IF(AND($J47=#REF!,ISNUMBER(Q47)),Q47,"")</f>
        <v>#REF!</v>
      </c>
      <c r="V47" s="24" t="str">
        <f>INDEX(iSource!$M$9:$BJ$66,$B$2,A47)</f>
        <v>EIU Calculation</v>
      </c>
      <c r="Z47" s="24">
        <f>INDEX(tblCities!$H$3:$L$52,iRankIndi!A47,uxbWorks!$B$25)</f>
        <v>1</v>
      </c>
    </row>
    <row r="48" spans="1:26">
      <c r="A48" s="24">
        <v>34</v>
      </c>
      <c r="B48" s="24" t="str">
        <f>tblCities!C36</f>
        <v>Ho Chi Minh</v>
      </c>
      <c r="C48" s="24" t="str">
        <f t="shared" si="29"/>
        <v>Ho Chi MinhPERSAF_OP</v>
      </c>
      <c r="D48" s="14">
        <f t="shared" si="34"/>
        <v>0</v>
      </c>
      <c r="E48" s="14">
        <f t="shared" si="35"/>
        <v>74.09</v>
      </c>
      <c r="F48" s="14">
        <f t="shared" si="30"/>
        <v>74.09</v>
      </c>
      <c r="G48" s="14">
        <f>IF(ISNUMBER(D48),MATCH(D48,QUARTILE($D$15:$D$64,{0,1,2,3})),0)</f>
        <v>4</v>
      </c>
      <c r="H48" s="14"/>
      <c r="I48" s="14">
        <f>RANK(F48,$F$15:$F$64)+COUNTIF(F$15:F48,F48)-1</f>
        <v>14</v>
      </c>
      <c r="J48" s="24">
        <f t="shared" si="21"/>
        <v>4</v>
      </c>
      <c r="K48" s="24">
        <f t="shared" si="36"/>
        <v>2</v>
      </c>
      <c r="L48" s="24">
        <f t="shared" si="31"/>
        <v>34</v>
      </c>
      <c r="M48" s="14">
        <f t="shared" si="23"/>
        <v>34</v>
      </c>
      <c r="N48" s="24" t="str">
        <f t="shared" si="37"/>
        <v>Sao Paulo</v>
      </c>
      <c r="O48" s="24">
        <f t="shared" si="24"/>
        <v>63.05</v>
      </c>
      <c r="P48" s="185" t="str">
        <f>IF(K48=0,"",IF(OR(AND(uxbWorks!$E$9=1,$E$2=1),AND(uxbWorks!$E$9=1,$E$2=0)),REPT("|",O48*5),REPT("|",O48/2)))</f>
        <v>|||||||||||||||||||||||||||||||</v>
      </c>
      <c r="Q48" s="14" t="str">
        <f t="shared" si="25"/>
        <v/>
      </c>
      <c r="S48" s="24" t="str">
        <f t="shared" si="32"/>
        <v>Sao Paulo &lt;no data&gt;</v>
      </c>
      <c r="T48" s="24" t="str">
        <f t="shared" si="33"/>
        <v/>
      </c>
      <c r="U48" s="24" t="e">
        <f>IF(AND($J48=#REF!,ISNUMBER(Q48)),Q48,"")</f>
        <v>#REF!</v>
      </c>
      <c r="V48" s="24" t="str">
        <f>INDEX(iSource!$M$9:$BJ$66,$B$2,A48)</f>
        <v>EIU Calculation</v>
      </c>
      <c r="Z48" s="24">
        <f>INDEX(tblCities!$H$3:$L$52,iRankIndi!A48,uxbWorks!$B$25)</f>
        <v>1</v>
      </c>
    </row>
    <row r="49" spans="1:26">
      <c r="A49" s="24">
        <v>35</v>
      </c>
      <c r="B49" s="24" t="str">
        <f>tblCities!C37</f>
        <v>Kuwait City</v>
      </c>
      <c r="C49" s="24" t="str">
        <f t="shared" si="29"/>
        <v>Kuwait CityPERSAF_OP</v>
      </c>
      <c r="D49" s="14">
        <f t="shared" si="34"/>
        <v>0</v>
      </c>
      <c r="E49" s="14">
        <f t="shared" si="35"/>
        <v>85.38</v>
      </c>
      <c r="F49" s="14">
        <f t="shared" si="30"/>
        <v>85.38</v>
      </c>
      <c r="G49" s="14">
        <f>IF(ISNUMBER(D49),MATCH(D49,QUARTILE($D$15:$D$64,{0,1,2,3})),0)</f>
        <v>4</v>
      </c>
      <c r="H49" s="14"/>
      <c r="I49" s="14">
        <f>RANK(F49,$F$15:$F$64)+COUNTIF(F$15:F49,F49)-1</f>
        <v>4</v>
      </c>
      <c r="J49" s="24">
        <f t="shared" si="21"/>
        <v>42</v>
      </c>
      <c r="K49" s="24">
        <f t="shared" si="36"/>
        <v>2</v>
      </c>
      <c r="L49" s="24">
        <f t="shared" si="31"/>
        <v>35</v>
      </c>
      <c r="M49" s="14">
        <f t="shared" si="23"/>
        <v>35</v>
      </c>
      <c r="N49" s="24" t="str">
        <f t="shared" si="37"/>
        <v>Rome</v>
      </c>
      <c r="O49" s="24">
        <f t="shared" si="24"/>
        <v>62.83</v>
      </c>
      <c r="P49" s="185" t="str">
        <f>IF(K49=0,"",IF(OR(AND(uxbWorks!$E$9=1,$E$2=1),AND(uxbWorks!$E$9=1,$E$2=0)),REPT("|",O49*5),REPT("|",O49/2)))</f>
        <v>|||||||||||||||||||||||||||||||</v>
      </c>
      <c r="Q49" s="14" t="str">
        <f t="shared" si="25"/>
        <v/>
      </c>
      <c r="S49" s="24" t="str">
        <f t="shared" si="32"/>
        <v>Rome &lt;no data&gt;</v>
      </c>
      <c r="T49" s="24" t="str">
        <f t="shared" si="33"/>
        <v/>
      </c>
      <c r="U49" s="24" t="e">
        <f>IF(AND($J49=#REF!,ISNUMBER(Q49)),Q49,"")</f>
        <v>#REF!</v>
      </c>
      <c r="V49" s="24" t="str">
        <f>INDEX(iSource!$M$9:$BJ$66,$B$2,A49)</f>
        <v>EIU Calculation</v>
      </c>
      <c r="Z49" s="24">
        <f>INDEX(tblCities!$H$3:$L$52,iRankIndi!A49,uxbWorks!$B$25)</f>
        <v>1</v>
      </c>
    </row>
    <row r="50" spans="1:26">
      <c r="A50" s="24">
        <v>36</v>
      </c>
      <c r="B50" s="24" t="str">
        <f>tblCities!C38</f>
        <v>Doha</v>
      </c>
      <c r="C50" s="24" t="str">
        <f t="shared" si="29"/>
        <v>DohaPERSAF_OP</v>
      </c>
      <c r="D50" s="14">
        <f t="shared" si="34"/>
        <v>0</v>
      </c>
      <c r="E50" s="14">
        <f t="shared" si="35"/>
        <v>71.62</v>
      </c>
      <c r="F50" s="14">
        <f t="shared" si="30"/>
        <v>71.62</v>
      </c>
      <c r="G50" s="14">
        <f>IF(ISNUMBER(D50),MATCH(D50,QUARTILE($D$15:$D$64,{0,1,2,3})),0)</f>
        <v>4</v>
      </c>
      <c r="H50" s="14"/>
      <c r="I50" s="14">
        <f>RANK(F50,$F$15:$F$64)+COUNTIF(F$15:F50,F50)-1</f>
        <v>20</v>
      </c>
      <c r="J50" s="24">
        <f t="shared" si="21"/>
        <v>22</v>
      </c>
      <c r="K50" s="24">
        <f t="shared" si="36"/>
        <v>2</v>
      </c>
      <c r="L50" s="24">
        <f t="shared" si="31"/>
        <v>36</v>
      </c>
      <c r="M50" s="14">
        <f t="shared" si="23"/>
        <v>36</v>
      </c>
      <c r="N50" s="24" t="str">
        <f t="shared" si="37"/>
        <v>Guangzhou</v>
      </c>
      <c r="O50" s="24">
        <f t="shared" si="24"/>
        <v>62.3</v>
      </c>
      <c r="P50" s="185" t="str">
        <f>IF(K50=0,"",IF(OR(AND(uxbWorks!$E$9=1,$E$2=1),AND(uxbWorks!$E$9=1,$E$2=0)),REPT("|",O50*5),REPT("|",O50/2)))</f>
        <v>|||||||||||||||||||||||||||||||</v>
      </c>
      <c r="Q50" s="14" t="str">
        <f t="shared" si="25"/>
        <v/>
      </c>
      <c r="S50" s="24" t="str">
        <f t="shared" si="32"/>
        <v>Guangzhou &lt;no data&gt;</v>
      </c>
      <c r="T50" s="24" t="str">
        <f t="shared" si="33"/>
        <v/>
      </c>
      <c r="U50" s="24" t="e">
        <f>IF(AND($J50=#REF!,ISNUMBER(Q50)),Q50,"")</f>
        <v>#REF!</v>
      </c>
      <c r="V50" s="24" t="str">
        <f>INDEX(iSource!$M$9:$BJ$66,$B$2,A50)</f>
        <v>EIU Calculation</v>
      </c>
      <c r="Z50" s="24">
        <f>INDEX(tblCities!$H$3:$L$52,iRankIndi!A50,uxbWorks!$B$25)</f>
        <v>1</v>
      </c>
    </row>
    <row r="51" spans="1:26">
      <c r="A51" s="24">
        <v>37</v>
      </c>
      <c r="B51" s="24" t="str">
        <f>tblCities!C39</f>
        <v>Riyadh</v>
      </c>
      <c r="C51" s="24" t="str">
        <f t="shared" si="29"/>
        <v>RiyadhPERSAF_OP</v>
      </c>
      <c r="D51" s="14">
        <f t="shared" si="34"/>
        <v>0</v>
      </c>
      <c r="E51" s="14">
        <f t="shared" si="35"/>
        <v>85.53</v>
      </c>
      <c r="F51" s="14">
        <f t="shared" si="30"/>
        <v>85.53</v>
      </c>
      <c r="G51" s="14">
        <f>IF(ISNUMBER(D51),MATCH(D51,QUARTILE($D$15:$D$64,{0,1,2,3})),0)</f>
        <v>4</v>
      </c>
      <c r="H51" s="14"/>
      <c r="I51" s="14">
        <f>RANK(F51,$F$15:$F$64)+COUNTIF(F$15:F51,F51)-1</f>
        <v>3</v>
      </c>
      <c r="J51" s="24">
        <f t="shared" si="21"/>
        <v>26</v>
      </c>
      <c r="K51" s="24">
        <f t="shared" si="36"/>
        <v>2</v>
      </c>
      <c r="L51" s="24">
        <f t="shared" si="31"/>
        <v>37</v>
      </c>
      <c r="M51" s="14">
        <f t="shared" si="23"/>
        <v>37</v>
      </c>
      <c r="N51" s="24" t="str">
        <f t="shared" si="37"/>
        <v>Jakarta</v>
      </c>
      <c r="O51" s="24">
        <f t="shared" si="24"/>
        <v>62.28</v>
      </c>
      <c r="P51" s="185" t="str">
        <f>IF(K51=0,"",IF(OR(AND(uxbWorks!$E$9=1,$E$2=1),AND(uxbWorks!$E$9=1,$E$2=0)),REPT("|",O51*5),REPT("|",O51/2)))</f>
        <v>|||||||||||||||||||||||||||||||</v>
      </c>
      <c r="Q51" s="14" t="str">
        <f t="shared" si="25"/>
        <v/>
      </c>
      <c r="S51" s="24" t="str">
        <f t="shared" si="32"/>
        <v>Jakarta &lt;no data&gt;</v>
      </c>
      <c r="T51" s="24" t="str">
        <f t="shared" si="33"/>
        <v/>
      </c>
      <c r="U51" s="24" t="e">
        <f>IF(AND($J51=#REF!,ISNUMBER(Q51)),Q51,"")</f>
        <v>#REF!</v>
      </c>
      <c r="V51" s="24" t="str">
        <f>INDEX(iSource!$M$9:$BJ$66,$B$2,A51)</f>
        <v>EIU Calculation</v>
      </c>
      <c r="Z51" s="24">
        <f>INDEX(tblCities!$H$3:$L$52,iRankIndi!A51,uxbWorks!$B$25)</f>
        <v>1</v>
      </c>
    </row>
    <row r="52" spans="1:26">
      <c r="A52" s="24">
        <v>38</v>
      </c>
      <c r="B52" s="24" t="str">
        <f>tblCities!C40</f>
        <v>Abu Dhabi</v>
      </c>
      <c r="C52" s="24" t="str">
        <f t="shared" si="29"/>
        <v>Abu DhabiPERSAF_OP</v>
      </c>
      <c r="D52" s="14">
        <f t="shared" si="34"/>
        <v>0</v>
      </c>
      <c r="E52" s="14">
        <f t="shared" si="35"/>
        <v>84.77</v>
      </c>
      <c r="F52" s="14">
        <f t="shared" si="30"/>
        <v>84.77</v>
      </c>
      <c r="G52" s="14">
        <f>IF(ISNUMBER(D52),MATCH(D52,QUARTILE($D$15:$D$64,{0,1,2,3})),0)</f>
        <v>4</v>
      </c>
      <c r="H52" s="14"/>
      <c r="I52" s="14">
        <f>RANK(F52,$F$15:$F$64)+COUNTIF(F$15:F52,F52)-1</f>
        <v>5</v>
      </c>
      <c r="J52" s="24">
        <f t="shared" si="21"/>
        <v>19</v>
      </c>
      <c r="K52" s="24">
        <f t="shared" si="36"/>
        <v>2</v>
      </c>
      <c r="L52" s="24">
        <f t="shared" si="31"/>
        <v>38</v>
      </c>
      <c r="M52" s="14">
        <f t="shared" si="23"/>
        <v>38</v>
      </c>
      <c r="N52" s="24" t="str">
        <f t="shared" si="37"/>
        <v>Beijing </v>
      </c>
      <c r="O52" s="24">
        <f t="shared" si="24"/>
        <v>61.73</v>
      </c>
      <c r="P52" s="185" t="str">
        <f>IF(K52=0,"",IF(OR(AND(uxbWorks!$E$9=1,$E$2=1),AND(uxbWorks!$E$9=1,$E$2=0)),REPT("|",O52*5),REPT("|",O52/2)))</f>
        <v>||||||||||||||||||||||||||||||</v>
      </c>
      <c r="Q52" s="14" t="str">
        <f t="shared" si="25"/>
        <v/>
      </c>
      <c r="S52" s="24" t="str">
        <f t="shared" si="32"/>
        <v>Beijing  &lt;no data&gt;</v>
      </c>
      <c r="T52" s="24" t="str">
        <f t="shared" si="33"/>
        <v/>
      </c>
      <c r="U52" s="24" t="e">
        <f>IF(AND($J52=#REF!,ISNUMBER(Q52)),Q52,"")</f>
        <v>#REF!</v>
      </c>
      <c r="V52" s="24" t="str">
        <f>INDEX(iSource!$M$9:$BJ$66,$B$2,A52)</f>
        <v>EIU Calculation</v>
      </c>
      <c r="Z52" s="24">
        <f>INDEX(tblCities!$H$3:$L$52,iRankIndi!A52,uxbWorks!$B$25)</f>
        <v>1</v>
      </c>
    </row>
    <row r="53" spans="1:26">
      <c r="A53" s="24">
        <v>39</v>
      </c>
      <c r="B53" s="24" t="str">
        <f>tblCities!C41</f>
        <v>Brussels</v>
      </c>
      <c r="C53" s="24" t="str">
        <f t="shared" si="29"/>
        <v>BrusselsPERSAF_OP</v>
      </c>
      <c r="D53" s="14">
        <f t="shared" si="34"/>
        <v>0</v>
      </c>
      <c r="E53" s="14">
        <f t="shared" si="35"/>
        <v>73.23</v>
      </c>
      <c r="F53" s="14">
        <f t="shared" si="30"/>
        <v>73.23</v>
      </c>
      <c r="G53" s="14">
        <f>IF(ISNUMBER(D53),MATCH(D53,QUARTILE($D$15:$D$64,{0,1,2,3})),0)</f>
        <v>4</v>
      </c>
      <c r="H53" s="14"/>
      <c r="I53" s="14">
        <f>RANK(F53,$F$15:$F$64)+COUNTIF(F$15:F53,F53)-1</f>
        <v>15</v>
      </c>
      <c r="J53" s="24">
        <f t="shared" si="21"/>
        <v>46</v>
      </c>
      <c r="K53" s="24">
        <f t="shared" si="36"/>
        <v>2</v>
      </c>
      <c r="L53" s="24">
        <f t="shared" si="31"/>
        <v>39</v>
      </c>
      <c r="M53" s="14">
        <f t="shared" si="23"/>
        <v>39</v>
      </c>
      <c r="N53" s="24" t="str">
        <f t="shared" si="37"/>
        <v>Madrid</v>
      </c>
      <c r="O53" s="24">
        <f t="shared" si="24"/>
        <v>61.62</v>
      </c>
      <c r="P53" s="185" t="str">
        <f>IF(K53=0,"",IF(OR(AND(uxbWorks!$E$9=1,$E$2=1),AND(uxbWorks!$E$9=1,$E$2=0)),REPT("|",O53*5),REPT("|",O53/2)))</f>
        <v>||||||||||||||||||||||||||||||</v>
      </c>
      <c r="Q53" s="14" t="str">
        <f t="shared" si="25"/>
        <v/>
      </c>
      <c r="S53" s="24" t="str">
        <f t="shared" si="32"/>
        <v>Madrid &lt;no data&gt;</v>
      </c>
      <c r="T53" s="24" t="str">
        <f t="shared" si="33"/>
        <v/>
      </c>
      <c r="U53" s="24" t="e">
        <f>IF(AND($J53=#REF!,ISNUMBER(Q53)),Q53,"")</f>
        <v>#REF!</v>
      </c>
      <c r="V53" s="24" t="str">
        <f>INDEX(iSource!$M$9:$BJ$66,$B$2,A53)</f>
        <v>EIU Calculation</v>
      </c>
      <c r="Z53" s="24">
        <f>INDEX(tblCities!$H$3:$L$52,iRankIndi!A53,uxbWorks!$B$25)</f>
        <v>1</v>
      </c>
    </row>
    <row r="54" spans="1:26">
      <c r="A54" s="24">
        <v>40</v>
      </c>
      <c r="B54" s="24" t="str">
        <f>tblCities!C42</f>
        <v>Paris</v>
      </c>
      <c r="C54" s="24" t="str">
        <f t="shared" si="29"/>
        <v>ParisPERSAF_OP</v>
      </c>
      <c r="D54" s="14">
        <f t="shared" si="34"/>
        <v>0</v>
      </c>
      <c r="E54" s="14">
        <f t="shared" si="35"/>
        <v>69.48</v>
      </c>
      <c r="F54" s="14">
        <f t="shared" si="30"/>
        <v>69.48</v>
      </c>
      <c r="G54" s="14">
        <f>IF(ISNUMBER(D54),MATCH(D54,QUARTILE($D$15:$D$64,{0,1,2,3})),0)</f>
        <v>4</v>
      </c>
      <c r="H54" s="14"/>
      <c r="I54" s="14">
        <f>RANK(F54,$F$15:$F$64)+COUNTIF(F$15:F54,F54)-1</f>
        <v>23</v>
      </c>
      <c r="J54" s="24">
        <f t="shared" si="21"/>
        <v>50</v>
      </c>
      <c r="K54" s="24">
        <f t="shared" si="36"/>
        <v>2</v>
      </c>
      <c r="L54" s="24">
        <f t="shared" si="31"/>
        <v>40</v>
      </c>
      <c r="M54" s="14">
        <f t="shared" si="23"/>
        <v>40</v>
      </c>
      <c r="N54" s="24" t="str">
        <f t="shared" si="37"/>
        <v>London</v>
      </c>
      <c r="O54" s="24">
        <f t="shared" si="24"/>
        <v>61.36</v>
      </c>
      <c r="P54" s="185" t="str">
        <f>IF(K54=0,"",IF(OR(AND(uxbWorks!$E$9=1,$E$2=1),AND(uxbWorks!$E$9=1,$E$2=0)),REPT("|",O54*5),REPT("|",O54/2)))</f>
        <v>||||||||||||||||||||||||||||||</v>
      </c>
      <c r="Q54" s="14" t="str">
        <f t="shared" si="25"/>
        <v/>
      </c>
      <c r="S54" s="24" t="str">
        <f t="shared" si="32"/>
        <v>London &lt;no data&gt;</v>
      </c>
      <c r="T54" s="24" t="str">
        <f t="shared" si="33"/>
        <v/>
      </c>
      <c r="U54" s="24" t="e">
        <f>IF(AND($J54=#REF!,ISNUMBER(Q54)),Q54,"")</f>
        <v>#REF!</v>
      </c>
      <c r="V54" s="24" t="str">
        <f>INDEX(iSource!$M$9:$BJ$66,$B$2,A54)</f>
        <v>EIU Calculation</v>
      </c>
      <c r="Z54" s="24">
        <f>INDEX(tblCities!$H$3:$L$52,iRankIndi!A54,uxbWorks!$B$25)</f>
        <v>1</v>
      </c>
    </row>
    <row r="55" spans="1:26">
      <c r="A55" s="24">
        <v>41</v>
      </c>
      <c r="B55" s="24" t="str">
        <f>tblCities!C43</f>
        <v>Frankfurt</v>
      </c>
      <c r="C55" s="24" t="str">
        <f t="shared" si="29"/>
        <v>FrankfurtPERSAF_OP</v>
      </c>
      <c r="D55" s="14">
        <f t="shared" si="34"/>
        <v>0</v>
      </c>
      <c r="E55" s="14">
        <f t="shared" si="35"/>
        <v>71.99</v>
      </c>
      <c r="F55" s="14">
        <f t="shared" si="30"/>
        <v>71.99</v>
      </c>
      <c r="G55" s="14">
        <f>IF(ISNUMBER(D55),MATCH(D55,QUARTILE($D$15:$D$64,{0,1,2,3})),0)</f>
        <v>4</v>
      </c>
      <c r="H55" s="14"/>
      <c r="I55" s="14">
        <f>RANK(F55,$F$15:$F$64)+COUNTIF(F$15:F55,F55)-1</f>
        <v>19</v>
      </c>
      <c r="J55" s="24">
        <f t="shared" si="21"/>
        <v>5</v>
      </c>
      <c r="K55" s="24">
        <f t="shared" si="36"/>
        <v>2</v>
      </c>
      <c r="L55" s="24">
        <f t="shared" si="31"/>
        <v>41</v>
      </c>
      <c r="M55" s="14">
        <f t="shared" si="23"/>
        <v>41</v>
      </c>
      <c r="N55" s="24" t="str">
        <f t="shared" si="37"/>
        <v>Rio de Janeiro</v>
      </c>
      <c r="O55" s="24">
        <f t="shared" si="24"/>
        <v>61.32</v>
      </c>
      <c r="P55" s="185" t="str">
        <f>IF(K55=0,"",IF(OR(AND(uxbWorks!$E$9=1,$E$2=1),AND(uxbWorks!$E$9=1,$E$2=0)),REPT("|",O55*5),REPT("|",O55/2)))</f>
        <v>||||||||||||||||||||||||||||||</v>
      </c>
      <c r="Q55" s="14" t="str">
        <f t="shared" si="25"/>
        <v/>
      </c>
      <c r="S55" s="24" t="str">
        <f t="shared" si="32"/>
        <v>Rio de Janeiro &lt;no data&gt;</v>
      </c>
      <c r="T55" s="24" t="str">
        <f t="shared" si="33"/>
        <v/>
      </c>
      <c r="U55" s="24" t="e">
        <f>IF(AND($J55=#REF!,ISNUMBER(Q55)),Q55,"")</f>
        <v>#REF!</v>
      </c>
      <c r="V55" s="24" t="str">
        <f>INDEX(iSource!$M$9:$BJ$66,$B$2,A55)</f>
        <v>EIU Calculation</v>
      </c>
      <c r="Z55" s="24">
        <f>INDEX(tblCities!$H$3:$L$52,iRankIndi!A55,uxbWorks!$B$25)</f>
        <v>1</v>
      </c>
    </row>
    <row r="56" spans="1:26">
      <c r="A56" s="24">
        <v>42</v>
      </c>
      <c r="B56" s="24" t="str">
        <f>tblCities!C44</f>
        <v>Rome</v>
      </c>
      <c r="C56" s="24" t="str">
        <f t="shared" si="29"/>
        <v>RomePERSAF_OP</v>
      </c>
      <c r="D56" s="14">
        <f t="shared" si="34"/>
        <v>0</v>
      </c>
      <c r="E56" s="14">
        <f t="shared" si="35"/>
        <v>62.83</v>
      </c>
      <c r="F56" s="14">
        <f t="shared" si="30"/>
        <v>62.83</v>
      </c>
      <c r="G56" s="14">
        <f>IF(ISNUMBER(D56),MATCH(D56,QUARTILE($D$15:$D$64,{0,1,2,3})),0)</f>
        <v>4</v>
      </c>
      <c r="H56" s="14"/>
      <c r="I56" s="14">
        <f>RANK(F56,$F$15:$F$64)+COUNTIF(F$15:F56,F56)-1</f>
        <v>35</v>
      </c>
      <c r="J56" s="24">
        <f t="shared" si="21"/>
        <v>3</v>
      </c>
      <c r="K56" s="24">
        <f t="shared" si="36"/>
        <v>2</v>
      </c>
      <c r="L56" s="24">
        <f t="shared" si="31"/>
        <v>42</v>
      </c>
      <c r="M56" s="14">
        <f t="shared" si="23"/>
        <v>42</v>
      </c>
      <c r="N56" s="24" t="str">
        <f t="shared" si="37"/>
        <v>Buenos Aires</v>
      </c>
      <c r="O56" s="24">
        <f t="shared" si="24"/>
        <v>58.54</v>
      </c>
      <c r="P56" s="185" t="str">
        <f>IF(K56=0,"",IF(OR(AND(uxbWorks!$E$9=1,$E$2=1),AND(uxbWorks!$E$9=1,$E$2=0)),REPT("|",O56*5),REPT("|",O56/2)))</f>
        <v>|||||||||||||||||||||||||||||</v>
      </c>
      <c r="Q56" s="14" t="str">
        <f t="shared" si="25"/>
        <v/>
      </c>
      <c r="S56" s="24" t="str">
        <f t="shared" si="32"/>
        <v>Buenos Aires &lt;no data&gt;</v>
      </c>
      <c r="T56" s="24" t="str">
        <f t="shared" si="33"/>
        <v/>
      </c>
      <c r="U56" s="24" t="e">
        <f>IF(AND($J56=#REF!,ISNUMBER(Q56)),Q56,"")</f>
        <v>#REF!</v>
      </c>
      <c r="V56" s="24" t="str">
        <f>INDEX(iSource!$M$9:$BJ$66,$B$2,A56)</f>
        <v>EIU Calculation</v>
      </c>
      <c r="Z56" s="24">
        <f>INDEX(tblCities!$H$3:$L$52,iRankIndi!A56,uxbWorks!$B$25)</f>
        <v>1</v>
      </c>
    </row>
    <row r="57" spans="1:26">
      <c r="A57" s="24">
        <v>43</v>
      </c>
      <c r="B57" s="24" t="str">
        <f>tblCities!C45</f>
        <v>Milan</v>
      </c>
      <c r="C57" s="24" t="str">
        <f t="shared" si="29"/>
        <v>MilanPERSAF_OP</v>
      </c>
      <c r="D57" s="14">
        <f t="shared" si="34"/>
        <v>0</v>
      </c>
      <c r="E57" s="14">
        <f t="shared" si="35"/>
        <v>68.4</v>
      </c>
      <c r="F57" s="14">
        <f t="shared" si="30"/>
        <v>68.4</v>
      </c>
      <c r="G57" s="14">
        <f>IF(ISNUMBER(D57),MATCH(D57,QUARTILE($D$15:$D$64,{0,1,2,3})),0)</f>
        <v>4</v>
      </c>
      <c r="H57" s="14"/>
      <c r="I57" s="14">
        <f>RANK(F57,$F$15:$F$64)+COUNTIF(F$15:F57,F57)-1</f>
        <v>26</v>
      </c>
      <c r="J57" s="24">
        <f t="shared" si="21"/>
        <v>13</v>
      </c>
      <c r="K57" s="24">
        <f t="shared" si="36"/>
        <v>2</v>
      </c>
      <c r="L57" s="24">
        <f t="shared" si="31"/>
        <v>43</v>
      </c>
      <c r="M57" s="14">
        <f t="shared" si="23"/>
        <v>43</v>
      </c>
      <c r="N57" s="24" t="str">
        <f t="shared" si="37"/>
        <v>Santiago</v>
      </c>
      <c r="O57" s="24">
        <f t="shared" si="24"/>
        <v>55.73</v>
      </c>
      <c r="P57" s="185" t="str">
        <f>IF(K57=0,"",IF(OR(AND(uxbWorks!$E$9=1,$E$2=1),AND(uxbWorks!$E$9=1,$E$2=0)),REPT("|",O57*5),REPT("|",O57/2)))</f>
        <v>|||||||||||||||||||||||||||</v>
      </c>
      <c r="Q57" s="14" t="str">
        <f t="shared" si="25"/>
        <v/>
      </c>
      <c r="S57" s="24" t="str">
        <f t="shared" si="32"/>
        <v>Santiago &lt;no data&gt;</v>
      </c>
      <c r="T57" s="24" t="str">
        <f t="shared" si="33"/>
        <v/>
      </c>
      <c r="U57" s="24" t="e">
        <f>IF(AND($J57=#REF!,ISNUMBER(Q57)),Q57,"")</f>
        <v>#REF!</v>
      </c>
      <c r="V57" s="24" t="str">
        <f>INDEX(iSource!$M$9:$BJ$66,$B$2,A57)</f>
        <v>EIU Calculation</v>
      </c>
      <c r="Z57" s="24">
        <f>INDEX(tblCities!$H$3:$L$52,iRankIndi!A57,uxbWorks!$B$25)</f>
        <v>1</v>
      </c>
    </row>
    <row r="58" spans="1:26">
      <c r="A58" s="24">
        <v>44</v>
      </c>
      <c r="B58" s="24" t="str">
        <f>tblCities!C46</f>
        <v>Amsterdam</v>
      </c>
      <c r="C58" s="24" t="str">
        <f t="shared" si="29"/>
        <v>AmsterdamPERSAF_OP</v>
      </c>
      <c r="D58" s="14">
        <f t="shared" si="34"/>
        <v>0</v>
      </c>
      <c r="E58" s="14">
        <f t="shared" si="35"/>
        <v>72.39</v>
      </c>
      <c r="F58" s="14">
        <f t="shared" si="30"/>
        <v>72.39</v>
      </c>
      <c r="G58" s="14">
        <f>IF(ISNUMBER(D58),MATCH(D58,QUARTILE($D$15:$D$64,{0,1,2,3})),0)</f>
        <v>4</v>
      </c>
      <c r="H58" s="14"/>
      <c r="I58" s="14">
        <f>RANK(F58,$F$15:$F$64)+COUNTIF(F$15:F58,F58)-1</f>
        <v>16</v>
      </c>
      <c r="J58" s="24">
        <f t="shared" si="21"/>
        <v>7</v>
      </c>
      <c r="K58" s="24">
        <f t="shared" si="36"/>
        <v>2</v>
      </c>
      <c r="L58" s="24">
        <f t="shared" si="31"/>
        <v>44</v>
      </c>
      <c r="M58" s="14">
        <f t="shared" si="23"/>
        <v>44</v>
      </c>
      <c r="N58" s="24" t="str">
        <f t="shared" si="37"/>
        <v>San Francisco</v>
      </c>
      <c r="O58" s="24">
        <f t="shared" si="24"/>
        <v>55.44</v>
      </c>
      <c r="P58" s="185" t="str">
        <f>IF(K58=0,"",IF(OR(AND(uxbWorks!$E$9=1,$E$2=1),AND(uxbWorks!$E$9=1,$E$2=0)),REPT("|",O58*5),REPT("|",O58/2)))</f>
        <v>|||||||||||||||||||||||||||</v>
      </c>
      <c r="Q58" s="14" t="str">
        <f t="shared" si="25"/>
        <v/>
      </c>
      <c r="S58" s="24" t="str">
        <f t="shared" si="32"/>
        <v>San Francisco &lt;no data&gt;</v>
      </c>
      <c r="T58" s="24" t="str">
        <f t="shared" si="33"/>
        <v/>
      </c>
      <c r="U58" s="24" t="e">
        <f>IF(AND($J58=#REF!,ISNUMBER(Q58)),Q58,"")</f>
        <v>#REF!</v>
      </c>
      <c r="V58" s="24" t="str">
        <f>INDEX(iSource!$M$9:$BJ$66,$B$2,A58)</f>
        <v>EIU Calculation</v>
      </c>
      <c r="Z58" s="24">
        <f>INDEX(tblCities!$H$3:$L$52,iRankIndi!A58,uxbWorks!$B$25)</f>
        <v>1</v>
      </c>
    </row>
    <row r="59" spans="1:26">
      <c r="A59" s="24">
        <v>45</v>
      </c>
      <c r="B59" s="24" t="str">
        <f>tblCities!C47</f>
        <v>Moscow</v>
      </c>
      <c r="C59" s="24" t="str">
        <f t="shared" si="29"/>
        <v>MoscowPERSAF_OP</v>
      </c>
      <c r="D59" s="14">
        <f t="shared" si="34"/>
        <v>0</v>
      </c>
      <c r="E59" s="14">
        <f t="shared" si="35"/>
        <v>76.02</v>
      </c>
      <c r="F59" s="14">
        <f t="shared" si="30"/>
        <v>76.02</v>
      </c>
      <c r="G59" s="14">
        <f>IF(ISNUMBER(D59),MATCH(D59,QUARTILE($D$15:$D$64,{0,1,2,3})),0)</f>
        <v>4</v>
      </c>
      <c r="H59" s="14"/>
      <c r="I59" s="14">
        <f>RANK(F59,$F$15:$F$64)+COUNTIF(F$15:F59,F59)-1</f>
        <v>13</v>
      </c>
      <c r="J59" s="24">
        <f t="shared" si="21"/>
        <v>2</v>
      </c>
      <c r="K59" s="24">
        <f t="shared" si="36"/>
        <v>2</v>
      </c>
      <c r="L59" s="24">
        <f t="shared" si="31"/>
        <v>45</v>
      </c>
      <c r="M59" s="14">
        <f t="shared" si="23"/>
        <v>45</v>
      </c>
      <c r="N59" s="24" t="str">
        <f t="shared" si="37"/>
        <v>Johannesburg</v>
      </c>
      <c r="O59" s="24">
        <f t="shared" si="24"/>
        <v>54.96</v>
      </c>
      <c r="P59" s="185" t="str">
        <f>IF(K59=0,"",IF(OR(AND(uxbWorks!$E$9=1,$E$2=1),AND(uxbWorks!$E$9=1,$E$2=0)),REPT("|",O59*5),REPT("|",O59/2)))</f>
        <v>|||||||||||||||||||||||||||</v>
      </c>
      <c r="Q59" s="14" t="str">
        <f t="shared" si="25"/>
        <v/>
      </c>
      <c r="S59" s="24" t="str">
        <f t="shared" si="32"/>
        <v>Johannesburg &lt;no data&gt;</v>
      </c>
      <c r="T59" s="24" t="str">
        <f t="shared" si="33"/>
        <v/>
      </c>
      <c r="U59" s="24" t="e">
        <f>IF(AND($J59=#REF!,ISNUMBER(Q59)),Q59,"")</f>
        <v>#REF!</v>
      </c>
      <c r="V59" s="24" t="str">
        <f>INDEX(iSource!$M$9:$BJ$66,$B$2,A59)</f>
        <v>EIU Calculation</v>
      </c>
      <c r="Z59" s="24">
        <f>INDEX(tblCities!$H$3:$L$52,iRankIndi!A59,uxbWorks!$B$25)</f>
        <v>1</v>
      </c>
    </row>
    <row r="60" spans="1:26">
      <c r="A60" s="24">
        <v>46</v>
      </c>
      <c r="B60" s="24" t="str">
        <f>tblCities!C48</f>
        <v>Madrid</v>
      </c>
      <c r="C60" s="24" t="str">
        <f t="shared" si="29"/>
        <v>MadridPERSAF_OP</v>
      </c>
      <c r="D60" s="14">
        <f t="shared" si="34"/>
        <v>0</v>
      </c>
      <c r="E60" s="14">
        <f t="shared" si="35"/>
        <v>61.62</v>
      </c>
      <c r="F60" s="14">
        <f t="shared" si="30"/>
        <v>61.62</v>
      </c>
      <c r="G60" s="14">
        <f>IF(ISNUMBER(D60),MATCH(D60,QUARTILE($D$15:$D$64,{0,1,2,3})),0)</f>
        <v>4</v>
      </c>
      <c r="H60" s="14"/>
      <c r="I60" s="14">
        <f>RANK(F60,$F$15:$F$64)+COUNTIF(F$15:F60,F60)-1</f>
        <v>39</v>
      </c>
      <c r="J60" s="24">
        <f t="shared" si="21"/>
        <v>15</v>
      </c>
      <c r="K60" s="24">
        <f t="shared" si="36"/>
        <v>2</v>
      </c>
      <c r="L60" s="24">
        <f t="shared" si="31"/>
        <v>46</v>
      </c>
      <c r="M60" s="14">
        <f t="shared" si="23"/>
        <v>46</v>
      </c>
      <c r="N60" s="24" t="str">
        <f t="shared" si="37"/>
        <v>Washington DC</v>
      </c>
      <c r="O60" s="24">
        <f t="shared" si="24"/>
        <v>52.89</v>
      </c>
      <c r="P60" s="185" t="str">
        <f>IF(K60=0,"",IF(OR(AND(uxbWorks!$E$9=1,$E$2=1),AND(uxbWorks!$E$9=1,$E$2=0)),REPT("|",O60*5),REPT("|",O60/2)))</f>
        <v>||||||||||||||||||||||||||</v>
      </c>
      <c r="Q60" s="14" t="str">
        <f t="shared" si="25"/>
        <v/>
      </c>
      <c r="S60" s="24" t="str">
        <f t="shared" si="32"/>
        <v>Washington DC &lt;no data&gt;</v>
      </c>
      <c r="T60" s="24" t="str">
        <f t="shared" si="33"/>
        <v/>
      </c>
      <c r="U60" s="24" t="e">
        <f>IF(AND($J60=#REF!,ISNUMBER(Q60)),Q60,"")</f>
        <v>#REF!</v>
      </c>
      <c r="V60" s="24" t="str">
        <f>INDEX(iSource!$M$9:$BJ$66,$B$2,A60)</f>
        <v>EIU Calculation</v>
      </c>
      <c r="Z60" s="24">
        <f>INDEX(tblCities!$H$3:$L$52,iRankIndi!A60,uxbWorks!$B$25)</f>
        <v>1</v>
      </c>
    </row>
    <row r="61" spans="1:26">
      <c r="A61" s="24">
        <v>47</v>
      </c>
      <c r="B61" s="24" t="str">
        <f>tblCities!C49</f>
        <v>Barcelona</v>
      </c>
      <c r="C61" s="24" t="str">
        <f t="shared" si="29"/>
        <v>BarcelonaPERSAF_OP</v>
      </c>
      <c r="D61" s="14">
        <f t="shared" si="34"/>
        <v>0</v>
      </c>
      <c r="E61" s="14">
        <f t="shared" si="35"/>
        <v>65.3</v>
      </c>
      <c r="F61" s="14">
        <f t="shared" si="30"/>
        <v>65.3</v>
      </c>
      <c r="G61" s="14">
        <f>IF(ISNUMBER(D61),MATCH(D61,QUARTILE($D$15:$D$64,{0,1,2,3})),0)</f>
        <v>4</v>
      </c>
      <c r="H61" s="14"/>
      <c r="I61" s="14">
        <f>RANK(F61,$F$15:$F$64)+COUNTIF(F$15:F61,F61)-1</f>
        <v>32</v>
      </c>
      <c r="J61" s="24">
        <f t="shared" si="21"/>
        <v>6</v>
      </c>
      <c r="K61" s="24">
        <f t="shared" si="36"/>
        <v>2</v>
      </c>
      <c r="L61" s="24">
        <f t="shared" si="31"/>
        <v>47</v>
      </c>
      <c r="M61" s="14">
        <f t="shared" si="23"/>
        <v>47</v>
      </c>
      <c r="N61" s="24" t="str">
        <f t="shared" si="37"/>
        <v>Los Angeles</v>
      </c>
      <c r="O61" s="24">
        <f t="shared" si="24"/>
        <v>52.84</v>
      </c>
      <c r="P61" s="185" t="str">
        <f>IF(K61=0,"",IF(OR(AND(uxbWorks!$E$9=1,$E$2=1),AND(uxbWorks!$E$9=1,$E$2=0)),REPT("|",O61*5),REPT("|",O61/2)))</f>
        <v>||||||||||||||||||||||||||</v>
      </c>
      <c r="Q61" s="14" t="str">
        <f t="shared" si="25"/>
        <v/>
      </c>
      <c r="S61" s="24" t="str">
        <f t="shared" si="32"/>
        <v>Los Angeles &lt;no data&gt;</v>
      </c>
      <c r="T61" s="24" t="str">
        <f t="shared" si="33"/>
        <v/>
      </c>
      <c r="U61" s="24" t="e">
        <f>IF(AND($J61=#REF!,ISNUMBER(Q61)),Q61,"")</f>
        <v>#REF!</v>
      </c>
      <c r="V61" s="24" t="str">
        <f>INDEX(iSource!$M$9:$BJ$66,$B$2,A61)</f>
        <v>EIU Calculation</v>
      </c>
      <c r="Z61" s="24">
        <f>INDEX(tblCities!$H$3:$L$52,iRankIndi!A61,uxbWorks!$B$25)</f>
        <v>1</v>
      </c>
    </row>
    <row r="62" spans="1:26">
      <c r="A62" s="24">
        <v>48</v>
      </c>
      <c r="B62" s="24" t="str">
        <f>tblCities!C50</f>
        <v>Zurich</v>
      </c>
      <c r="C62" s="24" t="str">
        <f t="shared" si="29"/>
        <v>ZurichPERSAF_OP</v>
      </c>
      <c r="D62" s="14">
        <f t="shared" si="34"/>
        <v>0</v>
      </c>
      <c r="E62" s="14">
        <f t="shared" si="35"/>
        <v>82.06</v>
      </c>
      <c r="F62" s="14">
        <f t="shared" si="30"/>
        <v>82.06</v>
      </c>
      <c r="G62" s="14">
        <f>IF(ISNUMBER(D62),MATCH(D62,QUARTILE($D$15:$D$64,{0,1,2,3})),0)</f>
        <v>4</v>
      </c>
      <c r="H62" s="14"/>
      <c r="I62" s="14">
        <f>RANK(F62,$F$15:$F$64)+COUNTIF(F$15:F62,F62)-1</f>
        <v>8</v>
      </c>
      <c r="J62" s="24">
        <f t="shared" si="21"/>
        <v>10</v>
      </c>
      <c r="K62" s="24">
        <f t="shared" si="36"/>
        <v>2</v>
      </c>
      <c r="L62" s="24">
        <f t="shared" si="31"/>
        <v>48</v>
      </c>
      <c r="M62" s="14">
        <f t="shared" si="23"/>
        <v>48</v>
      </c>
      <c r="N62" s="24" t="str">
        <f t="shared" si="37"/>
        <v>Chicago</v>
      </c>
      <c r="O62" s="24">
        <f t="shared" si="24"/>
        <v>52.77</v>
      </c>
      <c r="P62" s="185" t="str">
        <f>IF(K62=0,"",IF(OR(AND(uxbWorks!$E$9=1,$E$2=1),AND(uxbWorks!$E$9=1,$E$2=0)),REPT("|",O62*5),REPT("|",O62/2)))</f>
        <v>||||||||||||||||||||||||||</v>
      </c>
      <c r="Q62" s="14" t="str">
        <f t="shared" si="25"/>
        <v/>
      </c>
      <c r="S62" s="24" t="str">
        <f t="shared" si="32"/>
        <v>Chicago &lt;no data&gt;</v>
      </c>
      <c r="T62" s="24" t="str">
        <f t="shared" si="33"/>
        <v/>
      </c>
      <c r="U62" s="24" t="e">
        <f>IF(AND($J62=#REF!,ISNUMBER(Q62)),Q62,"")</f>
        <v>#REF!</v>
      </c>
      <c r="V62" s="24" t="str">
        <f>INDEX(iSource!$M$9:$BJ$66,$B$2,A62)</f>
        <v>EIU Calculation</v>
      </c>
      <c r="Z62" s="24">
        <f>INDEX(tblCities!$H$3:$L$52,iRankIndi!A62,uxbWorks!$B$25)</f>
        <v>1</v>
      </c>
    </row>
    <row r="63" spans="1:26">
      <c r="A63" s="24">
        <v>49</v>
      </c>
      <c r="B63" s="24" t="str">
        <f>tblCities!C51</f>
        <v>Istanbul</v>
      </c>
      <c r="C63" s="24" t="str">
        <f t="shared" si="29"/>
        <v>IstanbulPERSAF_OP</v>
      </c>
      <c r="D63" s="14">
        <f t="shared" si="34"/>
        <v>0</v>
      </c>
      <c r="E63" s="14">
        <f t="shared" si="35"/>
        <v>67.64</v>
      </c>
      <c r="F63" s="14">
        <f t="shared" si="30"/>
        <v>67.64</v>
      </c>
      <c r="G63" s="14">
        <f>IF(ISNUMBER(D63),MATCH(D63,QUARTILE($D$15:$D$64,{0,1,2,3})),0)</f>
        <v>4</v>
      </c>
      <c r="H63" s="14"/>
      <c r="I63" s="14">
        <f>RANK(F63,$F$15:$F$64)+COUNTIF(F$15:F63,F63)-1</f>
        <v>27</v>
      </c>
      <c r="J63" s="24">
        <f t="shared" si="21"/>
        <v>11</v>
      </c>
      <c r="K63" s="24">
        <f t="shared" si="36"/>
        <v>2</v>
      </c>
      <c r="L63" s="24">
        <f t="shared" si="31"/>
        <v>49</v>
      </c>
      <c r="M63" s="14">
        <f t="shared" si="23"/>
        <v>49</v>
      </c>
      <c r="N63" s="24" t="str">
        <f t="shared" si="37"/>
        <v>Mexico City</v>
      </c>
      <c r="O63" s="24">
        <f t="shared" si="24"/>
        <v>52.23</v>
      </c>
      <c r="P63" s="185" t="str">
        <f>IF(K63=0,"",IF(OR(AND(uxbWorks!$E$9=1,$E$2=1),AND(uxbWorks!$E$9=1,$E$2=0)),REPT("|",O63*5),REPT("|",O63/2)))</f>
        <v>||||||||||||||||||||||||||</v>
      </c>
      <c r="Q63" s="14" t="str">
        <f t="shared" si="25"/>
        <v/>
      </c>
      <c r="S63" s="24" t="str">
        <f t="shared" si="32"/>
        <v>Mexico City &lt;no data&gt;</v>
      </c>
      <c r="T63" s="24" t="str">
        <f t="shared" si="33"/>
        <v/>
      </c>
      <c r="U63" s="24" t="e">
        <f>IF(AND($J63=#REF!,ISNUMBER(Q63)),Q63,"")</f>
        <v>#REF!</v>
      </c>
      <c r="V63" s="24" t="str">
        <f>INDEX(iSource!$M$9:$BJ$66,$B$2,A63)</f>
        <v>EIU Calculation</v>
      </c>
      <c r="Z63" s="24">
        <f>INDEX(tblCities!$H$3:$L$52,iRankIndi!A63,uxbWorks!$B$25)</f>
        <v>1</v>
      </c>
    </row>
    <row r="64" spans="1:26">
      <c r="A64" s="24">
        <v>50</v>
      </c>
      <c r="B64" s="24" t="str">
        <f>tblCities!C52</f>
        <v>London</v>
      </c>
      <c r="C64" s="24" t="str">
        <f t="shared" si="29"/>
        <v>LondonPERSAF_OP</v>
      </c>
      <c r="D64" s="14">
        <f t="shared" si="34"/>
        <v>0</v>
      </c>
      <c r="E64" s="14">
        <f t="shared" si="35"/>
        <v>61.36</v>
      </c>
      <c r="F64" s="14">
        <f t="shared" si="30"/>
        <v>61.36</v>
      </c>
      <c r="G64" s="14">
        <f>IF(ISNUMBER(D64),MATCH(D64,QUARTILE($D$15:$D$64,{0,1,2,3})),0)</f>
        <v>4</v>
      </c>
      <c r="H64" s="14"/>
      <c r="I64" s="14">
        <f>RANK(F64,$F$15:$F$64)+COUNTIF(F$15:F64,F64)-1</f>
        <v>40</v>
      </c>
      <c r="J64" s="24">
        <f t="shared" si="21"/>
        <v>14</v>
      </c>
      <c r="K64" s="24">
        <f t="shared" si="36"/>
        <v>2</v>
      </c>
      <c r="L64" s="24">
        <f t="shared" si="31"/>
        <v>50</v>
      </c>
      <c r="M64" s="14">
        <f t="shared" si="23"/>
        <v>50</v>
      </c>
      <c r="N64" s="24" t="str">
        <f t="shared" si="37"/>
        <v>New York</v>
      </c>
      <c r="O64" s="24">
        <f t="shared" si="24"/>
        <v>50.08</v>
      </c>
      <c r="P64" s="185" t="str">
        <f>IF(K64=0,"",IF(OR(AND(uxbWorks!$E$9=1,$E$2=1),AND(uxbWorks!$E$9=1,$E$2=0)),REPT("|",O64*5),REPT("|",O64/2)))</f>
        <v>|||||||||||||||||||||||||</v>
      </c>
      <c r="Q64" s="14" t="str">
        <f t="shared" si="25"/>
        <v/>
      </c>
      <c r="S64" s="24" t="str">
        <f t="shared" si="32"/>
        <v>New York &lt;no data&gt;</v>
      </c>
      <c r="T64" s="24" t="str">
        <f t="shared" si="33"/>
        <v/>
      </c>
      <c r="U64" s="24" t="e">
        <f>IF(AND($J64=#REF!,ISNUMBER(Q64)),Q64,"")</f>
        <v>#REF!</v>
      </c>
      <c r="V64" s="24" t="str">
        <f>INDEX(iSource!$M$9:$BJ$66,$B$2,A64)</f>
        <v>EIU Calculation</v>
      </c>
      <c r="Z64" s="24">
        <f>INDEX(tblCities!$H$3:$L$52,iRankIndi!A64,uxbWorks!$B$25)</f>
        <v>1</v>
      </c>
    </row>
  </sheetData>
  <sheetProtection selectLockedCells="1" selectUnlockedCells="1"/>
  <pageMargins left="0.7" right="0.7" top="0.75" bottom="0.75" header="0.3" footer="0.3"/>
  <pageSetup paperSize="1"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C000"/>
    <pageSetUpPr fitToPage="1"/>
  </sheetPr>
  <dimension ref="A1:BK107"/>
  <sheetViews>
    <sheetView showGridLines="0" workbookViewId="0">
      <pane ySplit="8" topLeftCell="A35" activePane="bottomLeft" state="frozen"/>
      <selection/>
      <selection pane="bottomLeft" activeCell="N37" sqref="N37"/>
    </sheetView>
  </sheetViews>
  <sheetFormatPr defaultColWidth="9" defaultRowHeight="15"/>
  <cols>
    <col min="1" max="1" width="4.14285714285714" customWidth="1"/>
    <col min="2" max="11" width="0.142857142857143" hidden="1" customWidth="1"/>
    <col min="12" max="12" width="63" customWidth="1"/>
    <col min="13" max="13" width="7" customWidth="1"/>
    <col min="14" max="22" width="10.4285714285714" customWidth="1"/>
    <col min="23" max="23" width="12" customWidth="1"/>
    <col min="24" max="25" width="10.4285714285714" customWidth="1"/>
    <col min="26" max="26" width="11.5714285714286" customWidth="1"/>
    <col min="27" max="29" width="10.4285714285714" customWidth="1"/>
    <col min="30" max="30" width="13.4285714285714" customWidth="1"/>
    <col min="31" max="37" width="12.7142857142857" customWidth="1"/>
  </cols>
  <sheetData>
    <row r="1" s="176" customFormat="1" spans="1:3">
      <c r="A1" s="176" t="s">
        <v>409</v>
      </c>
      <c r="C1" s="176">
        <v>2</v>
      </c>
    </row>
    <row r="5" spans="12:12">
      <c r="L5" t="s">
        <v>410</v>
      </c>
    </row>
    <row r="7" ht="12" customHeight="1" spans="12:63">
      <c r="L7" s="23"/>
      <c r="M7" s="23"/>
      <c r="N7" s="23">
        <v>1</v>
      </c>
      <c r="O7" s="23">
        <v>2</v>
      </c>
      <c r="P7" s="23">
        <v>3</v>
      </c>
      <c r="Q7" s="23">
        <v>4</v>
      </c>
      <c r="R7" s="23">
        <v>5</v>
      </c>
      <c r="S7" s="23">
        <v>6</v>
      </c>
      <c r="T7" s="23">
        <v>7</v>
      </c>
      <c r="U7" s="23">
        <v>8</v>
      </c>
      <c r="V7" s="23">
        <v>9</v>
      </c>
      <c r="W7" s="23">
        <v>10</v>
      </c>
      <c r="X7" s="23">
        <v>11</v>
      </c>
      <c r="Y7" s="23">
        <v>12</v>
      </c>
      <c r="Z7" s="23">
        <v>13</v>
      </c>
      <c r="AA7" s="23">
        <v>14</v>
      </c>
      <c r="AB7" s="23">
        <v>15</v>
      </c>
      <c r="AC7" s="23">
        <v>16</v>
      </c>
      <c r="AD7" s="23">
        <v>17</v>
      </c>
      <c r="AE7" s="23">
        <v>18</v>
      </c>
      <c r="AF7" s="23">
        <v>19</v>
      </c>
      <c r="AG7" s="23">
        <v>20</v>
      </c>
      <c r="AH7" s="23">
        <v>21</v>
      </c>
      <c r="AI7" s="23">
        <v>22</v>
      </c>
      <c r="AJ7" s="23">
        <v>23</v>
      </c>
      <c r="AK7" s="23">
        <v>24</v>
      </c>
      <c r="AL7" s="23">
        <v>25</v>
      </c>
      <c r="AM7" s="23">
        <v>26</v>
      </c>
      <c r="AN7" s="23">
        <v>27</v>
      </c>
      <c r="AO7" s="23">
        <v>28</v>
      </c>
      <c r="AP7" s="23">
        <v>29</v>
      </c>
      <c r="AQ7" s="23">
        <v>30</v>
      </c>
      <c r="AR7" s="23">
        <v>31</v>
      </c>
      <c r="AS7" s="23">
        <v>32</v>
      </c>
      <c r="AT7" s="23">
        <v>33</v>
      </c>
      <c r="AU7" s="23">
        <v>34</v>
      </c>
      <c r="AV7" s="23">
        <v>35</v>
      </c>
      <c r="AW7" s="23">
        <v>36</v>
      </c>
      <c r="AX7" s="23">
        <v>37</v>
      </c>
      <c r="AY7" s="23">
        <v>38</v>
      </c>
      <c r="AZ7" s="23">
        <v>39</v>
      </c>
      <c r="BA7" s="23">
        <v>40</v>
      </c>
      <c r="BB7" s="23">
        <v>41</v>
      </c>
      <c r="BC7" s="23">
        <v>42</v>
      </c>
      <c r="BD7" s="23">
        <v>43</v>
      </c>
      <c r="BE7" s="23">
        <v>44</v>
      </c>
      <c r="BF7" s="23">
        <v>45</v>
      </c>
      <c r="BG7" s="23">
        <v>46</v>
      </c>
      <c r="BH7" s="23">
        <v>47</v>
      </c>
      <c r="BI7" s="23">
        <v>48</v>
      </c>
      <c r="BJ7" s="23">
        <v>49</v>
      </c>
      <c r="BK7" s="23">
        <v>50</v>
      </c>
    </row>
    <row r="8" spans="1:63">
      <c r="A8" s="24"/>
      <c r="B8" s="24" t="str">
        <f>tblIndicators!B1</f>
        <v>IndiCode</v>
      </c>
      <c r="C8" s="24" t="str">
        <f>tblIndicators!C1</f>
        <v>IndiParent</v>
      </c>
      <c r="D8" s="24" t="s">
        <v>37</v>
      </c>
      <c r="E8" s="24" t="str">
        <f>tblIndicators!M1</f>
        <v>Score_System, 1 = weighted sum of scores, 2 = norm based on actual max/min, 3 = norm based on fixed max/min</v>
      </c>
      <c r="F8" s="24" t="str">
        <f>tblIndicators!N1</f>
        <v>Score_Param1 (0=High Is Good)</v>
      </c>
      <c r="G8" s="24" t="str">
        <f>tblIndicators!O1</f>
        <v>Score_Param2</v>
      </c>
      <c r="H8" s="24" t="str">
        <f>tblIndicators!P1</f>
        <v>Score_Param3</v>
      </c>
      <c r="I8" s="24" t="str">
        <f>tblIndicators!Q1</f>
        <v>Min</v>
      </c>
      <c r="J8" s="24" t="str">
        <f>tblIndicators!R1</f>
        <v>Max</v>
      </c>
      <c r="K8" s="24" t="s">
        <v>411</v>
      </c>
      <c r="L8" s="25" t="s">
        <v>77</v>
      </c>
      <c r="M8" s="25" t="s">
        <v>412</v>
      </c>
      <c r="N8" s="26" t="str">
        <f t="shared" ref="N8:BK8" si="0">INDEX(luCountry,N7)</f>
        <v>Stockholm</v>
      </c>
      <c r="O8" s="26" t="str">
        <f t="shared" si="0"/>
        <v>Johannesburg</v>
      </c>
      <c r="P8" s="26" t="str">
        <f t="shared" si="0"/>
        <v>Buenos Aires</v>
      </c>
      <c r="Q8" s="26" t="str">
        <f t="shared" si="0"/>
        <v>Sao Paulo</v>
      </c>
      <c r="R8" s="26" t="str">
        <f t="shared" si="0"/>
        <v>Rio de Janeiro</v>
      </c>
      <c r="S8" s="26" t="str">
        <f t="shared" si="0"/>
        <v>Los Angeles</v>
      </c>
      <c r="T8" s="26" t="str">
        <f t="shared" si="0"/>
        <v>San Francisco</v>
      </c>
      <c r="U8" s="26" t="str">
        <f t="shared" si="0"/>
        <v>Toronto</v>
      </c>
      <c r="V8" s="26" t="str">
        <f t="shared" si="0"/>
        <v>Montreal</v>
      </c>
      <c r="W8" s="26" t="str">
        <f t="shared" si="0"/>
        <v>Chicago</v>
      </c>
      <c r="X8" s="26" t="str">
        <f t="shared" si="0"/>
        <v>Mexico City</v>
      </c>
      <c r="Y8" s="26" t="str">
        <f t="shared" si="0"/>
        <v>Lima</v>
      </c>
      <c r="Z8" s="26" t="str">
        <f t="shared" si="0"/>
        <v>Santiago</v>
      </c>
      <c r="AA8" s="26" t="str">
        <f t="shared" si="0"/>
        <v>New York</v>
      </c>
      <c r="AB8" s="26" t="str">
        <f t="shared" si="0"/>
        <v>Washington DC</v>
      </c>
      <c r="AC8" s="26" t="str">
        <f t="shared" si="0"/>
        <v>Sydney</v>
      </c>
      <c r="AD8" s="26" t="str">
        <f t="shared" si="0"/>
        <v>Melbourne</v>
      </c>
      <c r="AE8" s="26" t="str">
        <f t="shared" si="0"/>
        <v>Hong Kong</v>
      </c>
      <c r="AF8" s="26" t="str">
        <f t="shared" si="0"/>
        <v>Beijing </v>
      </c>
      <c r="AG8" s="26" t="str">
        <f t="shared" si="0"/>
        <v>Shanghai</v>
      </c>
      <c r="AH8" s="26" t="str">
        <f t="shared" si="0"/>
        <v>Shenzhen</v>
      </c>
      <c r="AI8" s="26" t="str">
        <f t="shared" si="0"/>
        <v>Guangzhou</v>
      </c>
      <c r="AJ8" s="26" t="str">
        <f t="shared" si="0"/>
        <v>Tianjin</v>
      </c>
      <c r="AK8" s="26" t="str">
        <f t="shared" si="0"/>
        <v>Mumbai</v>
      </c>
      <c r="AL8" s="26" t="str">
        <f t="shared" si="0"/>
        <v>Delhi</v>
      </c>
      <c r="AM8" s="26" t="str">
        <f t="shared" si="0"/>
        <v>Jakarta</v>
      </c>
      <c r="AN8" s="26" t="str">
        <f t="shared" si="0"/>
        <v>Tehran</v>
      </c>
      <c r="AO8" s="26" t="str">
        <f t="shared" si="0"/>
        <v>Tokyo</v>
      </c>
      <c r="AP8" s="26" t="str">
        <f t="shared" si="0"/>
        <v>Osaka</v>
      </c>
      <c r="AQ8" s="26" t="str">
        <f t="shared" si="0"/>
        <v>Singapore</v>
      </c>
      <c r="AR8" s="26" t="str">
        <f t="shared" si="0"/>
        <v>Seoul</v>
      </c>
      <c r="AS8" s="26" t="str">
        <f t="shared" si="0"/>
        <v>Taipei</v>
      </c>
      <c r="AT8" s="26" t="str">
        <f t="shared" si="0"/>
        <v>Bangkok</v>
      </c>
      <c r="AU8" s="26" t="str">
        <f t="shared" si="0"/>
        <v>Ho Chi Minh</v>
      </c>
      <c r="AV8" s="26" t="str">
        <f t="shared" si="0"/>
        <v>Kuwait City</v>
      </c>
      <c r="AW8" s="26" t="str">
        <f t="shared" si="0"/>
        <v>Doha</v>
      </c>
      <c r="AX8" s="26" t="str">
        <f t="shared" si="0"/>
        <v>Riyadh</v>
      </c>
      <c r="AY8" s="26" t="str">
        <f t="shared" si="0"/>
        <v>Abu Dhabi</v>
      </c>
      <c r="AZ8" s="26" t="str">
        <f t="shared" si="0"/>
        <v>Brussels</v>
      </c>
      <c r="BA8" s="26" t="str">
        <f t="shared" si="0"/>
        <v>Paris</v>
      </c>
      <c r="BB8" s="26" t="str">
        <f t="shared" si="0"/>
        <v>Frankfurt</v>
      </c>
      <c r="BC8" s="26" t="str">
        <f t="shared" si="0"/>
        <v>Rome</v>
      </c>
      <c r="BD8" s="26" t="str">
        <f t="shared" si="0"/>
        <v>Milan</v>
      </c>
      <c r="BE8" s="26" t="str">
        <f t="shared" si="0"/>
        <v>Amsterdam</v>
      </c>
      <c r="BF8" s="26" t="str">
        <f t="shared" si="0"/>
        <v>Moscow</v>
      </c>
      <c r="BG8" s="26" t="str">
        <f t="shared" si="0"/>
        <v>Madrid</v>
      </c>
      <c r="BH8" s="26" t="str">
        <f t="shared" si="0"/>
        <v>Barcelona</v>
      </c>
      <c r="BI8" s="26" t="str">
        <f t="shared" si="0"/>
        <v>Zurich</v>
      </c>
      <c r="BJ8" s="26" t="str">
        <f t="shared" si="0"/>
        <v>Istanbul</v>
      </c>
      <c r="BK8" s="26" t="str">
        <f t="shared" si="0"/>
        <v>London</v>
      </c>
    </row>
    <row r="9" spans="1:63">
      <c r="A9" s="24"/>
      <c r="B9" s="24"/>
      <c r="C9" s="24"/>
      <c r="D9" s="52"/>
      <c r="E9" s="52"/>
      <c r="F9" s="52"/>
      <c r="G9" s="52"/>
      <c r="H9" s="52"/>
      <c r="I9" s="52"/>
      <c r="J9" s="52"/>
      <c r="K9" s="54"/>
      <c r="L9" s="55" t="str">
        <f>tblIndicators!Z2</f>
        <v>TOTAL SCORE</v>
      </c>
      <c r="M9" s="56"/>
      <c r="N9" s="57">
        <f>ROUND(Scores!N9,$C$1)</f>
        <v>80.02</v>
      </c>
      <c r="O9" s="57">
        <f>ROUND(Scores!O9,$C$1)</f>
        <v>56.26</v>
      </c>
      <c r="P9" s="57">
        <f>ROUND(Scores!P9,$C$1)</f>
        <v>65.88</v>
      </c>
      <c r="Q9" s="57">
        <f>ROUND(Scores!Q9,$C$1)</f>
        <v>62.33</v>
      </c>
      <c r="R9" s="57">
        <f>ROUND(Scores!R9,$C$1)</f>
        <v>63.52</v>
      </c>
      <c r="S9" s="57">
        <f>ROUND(Scores!S9,$C$1)</f>
        <v>74.24</v>
      </c>
      <c r="T9" s="57">
        <f>ROUND(Scores!T9,$C$1)</f>
        <v>76.63</v>
      </c>
      <c r="U9" s="57">
        <f>ROUND(Scores!U9,$C$1)</f>
        <v>78.81</v>
      </c>
      <c r="V9" s="57">
        <f>ROUND(Scores!V9,$C$1)</f>
        <v>75.6</v>
      </c>
      <c r="W9" s="57">
        <f>ROUND(Scores!W9,$C$1)</f>
        <v>74.89</v>
      </c>
      <c r="X9" s="57">
        <f>ROUND(Scores!X9,$C$1)</f>
        <v>59.46</v>
      </c>
      <c r="Y9" s="57">
        <f>ROUND(Scores!Y9,$C$1)</f>
        <v>65.01</v>
      </c>
      <c r="Z9" s="57">
        <f>ROUND(Scores!Z9,$C$1)</f>
        <v>66.98</v>
      </c>
      <c r="AA9" s="57">
        <f>ROUND(Scores!AA9,$C$1)</f>
        <v>78.08</v>
      </c>
      <c r="AB9" s="57">
        <f>ROUND(Scores!AB9,$C$1)</f>
        <v>73.37</v>
      </c>
      <c r="AC9" s="57">
        <f>ROUND(Scores!AC9,$C$1)</f>
        <v>78.91</v>
      </c>
      <c r="AD9" s="57">
        <f>ROUND(Scores!AD9,$C$1)</f>
        <v>78.67</v>
      </c>
      <c r="AE9" s="57">
        <f>ROUND(Scores!AE9,$C$1)</f>
        <v>77.24</v>
      </c>
      <c r="AF9" s="57">
        <f>ROUND(Scores!AF9,$C$1)</f>
        <v>63.25</v>
      </c>
      <c r="AG9" s="57">
        <f>ROUND(Scores!AG9,$C$1)</f>
        <v>65.93</v>
      </c>
      <c r="AH9" s="57">
        <f>ROUND(Scores!AH9,$C$1)</f>
        <v>65.76</v>
      </c>
      <c r="AI9" s="57">
        <f>ROUND(Scores!AI9,$C$1)</f>
        <v>62.79</v>
      </c>
      <c r="AJ9" s="57">
        <f>ROUND(Scores!AJ9,$C$1)</f>
        <v>63.55</v>
      </c>
      <c r="AK9" s="57">
        <f>ROUND(Scores!AK9,$C$1)</f>
        <v>60.72</v>
      </c>
      <c r="AL9" s="57">
        <f>ROUND(Scores!AL9,$C$1)</f>
        <v>61.88</v>
      </c>
      <c r="AM9" s="57">
        <f>ROUND(Scores!AM9,$C$1)</f>
        <v>53.71</v>
      </c>
      <c r="AN9" s="57">
        <f>ROUND(Scores!AN9,$C$1)</f>
        <v>53.78</v>
      </c>
      <c r="AO9" s="57">
        <f>ROUND(Scores!AO9,$C$1)</f>
        <v>85.63</v>
      </c>
      <c r="AP9" s="57">
        <f>ROUND(Scores!AP9,$C$1)</f>
        <v>82.36</v>
      </c>
      <c r="AQ9" s="57">
        <f>ROUND(Scores!AQ9,$C$1)</f>
        <v>84.61</v>
      </c>
      <c r="AR9" s="57">
        <f>ROUND(Scores!AR9,$C$1)</f>
        <v>70.9</v>
      </c>
      <c r="AS9" s="57">
        <f>ROUND(Scores!AS9,$C$1)</f>
        <v>76.51</v>
      </c>
      <c r="AT9" s="57">
        <f>ROUND(Scores!AT9,$C$1)</f>
        <v>62.69</v>
      </c>
      <c r="AU9" s="57">
        <f>ROUND(Scores!AU9,$C$1)</f>
        <v>54.93</v>
      </c>
      <c r="AV9" s="57">
        <f>ROUND(Scores!AV9,$C$1)</f>
        <v>63.47</v>
      </c>
      <c r="AW9" s="57">
        <f>ROUND(Scores!AW9,$C$1)</f>
        <v>66.41</v>
      </c>
      <c r="AX9" s="57">
        <f>ROUND(Scores!AX9,$C$1)</f>
        <v>57.09</v>
      </c>
      <c r="AY9" s="57">
        <f>ROUND(Scores!AY9,$C$1)</f>
        <v>69.83</v>
      </c>
      <c r="AZ9" s="57">
        <f>ROUND(Scores!AZ9,$C$1)</f>
        <v>71.72</v>
      </c>
      <c r="BA9" s="57">
        <f>ROUND(Scores!BA9,$C$1)</f>
        <v>71.21</v>
      </c>
      <c r="BB9" s="57">
        <f>ROUND(Scores!BB9,$C$1)</f>
        <v>73.05</v>
      </c>
      <c r="BC9" s="57">
        <f>ROUND(Scores!BC9,$C$1)</f>
        <v>67.13</v>
      </c>
      <c r="BD9" s="57">
        <f>ROUND(Scores!BD9,$C$1)</f>
        <v>69.64</v>
      </c>
      <c r="BE9" s="57">
        <f>ROUND(Scores!BE9,$C$1)</f>
        <v>79.19</v>
      </c>
      <c r="BF9" s="57">
        <f>ROUND(Scores!BF9,$C$1)</f>
        <v>61.6</v>
      </c>
      <c r="BG9" s="57">
        <f>ROUND(Scores!BG9,$C$1)</f>
        <v>72.35</v>
      </c>
      <c r="BH9" s="57">
        <f>ROUND(Scores!BH9,$C$1)</f>
        <v>75.16</v>
      </c>
      <c r="BI9" s="57">
        <f>ROUND(Scores!BI9,$C$1)</f>
        <v>78.84</v>
      </c>
      <c r="BJ9" s="57">
        <f>ROUND(Scores!BJ9,$C$1)</f>
        <v>62.25</v>
      </c>
      <c r="BK9" s="57">
        <f>ROUND(Scores!BK9,$C$1)</f>
        <v>73.83</v>
      </c>
    </row>
    <row r="10" spans="1:63">
      <c r="A10" s="24"/>
      <c r="B10" s="24"/>
      <c r="C10" s="24"/>
      <c r="D10" s="52"/>
      <c r="E10" s="52"/>
      <c r="F10" s="52"/>
      <c r="G10" s="52"/>
      <c r="H10" s="52"/>
      <c r="I10" s="52"/>
      <c r="J10" s="52"/>
      <c r="K10" s="54"/>
      <c r="L10" s="55" t="str">
        <f>tblIndicators!Z3</f>
        <v>1) DIGITAL SECURITY</v>
      </c>
      <c r="M10" s="56"/>
      <c r="N10" s="57">
        <f>ROUND(Scores!N10,$C$1)</f>
        <v>74.82</v>
      </c>
      <c r="O10" s="57">
        <f>ROUND(Scores!O10,$C$1)</f>
        <v>52.9</v>
      </c>
      <c r="P10" s="57">
        <f>ROUND(Scores!P10,$C$1)</f>
        <v>59.58</v>
      </c>
      <c r="Q10" s="57">
        <f>ROUND(Scores!Q10,$C$1)</f>
        <v>54.93</v>
      </c>
      <c r="R10" s="57">
        <f>ROUND(Scores!R10,$C$1)</f>
        <v>54.74</v>
      </c>
      <c r="S10" s="57">
        <f>ROUND(Scores!S10,$C$1)</f>
        <v>74.99</v>
      </c>
      <c r="T10" s="57">
        <f>ROUND(Scores!T10,$C$1)</f>
        <v>73.85</v>
      </c>
      <c r="U10" s="57">
        <f>ROUND(Scores!U10,$C$1)</f>
        <v>72.04</v>
      </c>
      <c r="V10" s="57">
        <f>ROUND(Scores!V10,$C$1)</f>
        <v>72.04</v>
      </c>
      <c r="W10" s="57">
        <f>ROUND(Scores!W10,$C$1)</f>
        <v>72.9</v>
      </c>
      <c r="X10" s="57">
        <f>ROUND(Scores!X10,$C$1)</f>
        <v>61.69</v>
      </c>
      <c r="Y10" s="57">
        <f>ROUND(Scores!Y10,$C$1)</f>
        <v>55.09</v>
      </c>
      <c r="Z10" s="57">
        <f>ROUND(Scores!Z10,$C$1)</f>
        <v>70.51</v>
      </c>
      <c r="AA10" s="57">
        <f>ROUND(Scores!AA10,$C$1)</f>
        <v>79.42</v>
      </c>
      <c r="AB10" s="57">
        <f>ROUND(Scores!AB10,$C$1)</f>
        <v>69.99</v>
      </c>
      <c r="AC10" s="57">
        <f>ROUND(Scores!AC10,$C$1)</f>
        <v>70.48</v>
      </c>
      <c r="AD10" s="57">
        <f>ROUND(Scores!AD10,$C$1)</f>
        <v>65.42</v>
      </c>
      <c r="AE10" s="57">
        <f>ROUND(Scores!AE10,$C$1)</f>
        <v>78.78</v>
      </c>
      <c r="AF10" s="57">
        <f>ROUND(Scores!AF10,$C$1)</f>
        <v>56.87</v>
      </c>
      <c r="AG10" s="57">
        <f>ROUND(Scores!AG10,$C$1)</f>
        <v>56.14</v>
      </c>
      <c r="AH10" s="57">
        <f>ROUND(Scores!AH10,$C$1)</f>
        <v>62.74</v>
      </c>
      <c r="AI10" s="57">
        <f>ROUND(Scores!AI10,$C$1)</f>
        <v>55.14</v>
      </c>
      <c r="AJ10" s="57">
        <f>ROUND(Scores!AJ10,$C$1)</f>
        <v>54.26</v>
      </c>
      <c r="AK10" s="57">
        <f>ROUND(Scores!AK10,$C$1)</f>
        <v>68.07</v>
      </c>
      <c r="AL10" s="57">
        <f>ROUND(Scores!AL10,$C$1)</f>
        <v>63.33</v>
      </c>
      <c r="AM10" s="57">
        <f>ROUND(Scores!AM10,$C$1)</f>
        <v>48.48</v>
      </c>
      <c r="AN10" s="57">
        <f>ROUND(Scores!AN10,$C$1)</f>
        <v>46.58</v>
      </c>
      <c r="AO10" s="57">
        <f>ROUND(Scores!AO10,$C$1)</f>
        <v>87.18</v>
      </c>
      <c r="AP10" s="57">
        <f>ROUND(Scores!AP10,$C$1)</f>
        <v>77</v>
      </c>
      <c r="AQ10" s="57">
        <f>ROUND(Scores!AQ10,$C$1)</f>
        <v>83.85</v>
      </c>
      <c r="AR10" s="57">
        <f>ROUND(Scores!AR10,$C$1)</f>
        <v>51.46</v>
      </c>
      <c r="AS10" s="57">
        <f>ROUND(Scores!AS10,$C$1)</f>
        <v>65.11</v>
      </c>
      <c r="AT10" s="57">
        <f>ROUND(Scores!AT10,$C$1)</f>
        <v>52.86</v>
      </c>
      <c r="AU10" s="57">
        <f>ROUND(Scores!AU10,$C$1)</f>
        <v>53.31</v>
      </c>
      <c r="AV10" s="57">
        <f>ROUND(Scores!AV10,$C$1)</f>
        <v>64.21</v>
      </c>
      <c r="AW10" s="57">
        <f>ROUND(Scores!AW10,$C$1)</f>
        <v>58.73</v>
      </c>
      <c r="AX10" s="57">
        <f>ROUND(Scores!AX10,$C$1)</f>
        <v>53.26</v>
      </c>
      <c r="AY10" s="57">
        <f>ROUND(Scores!AY10,$C$1)</f>
        <v>73.71</v>
      </c>
      <c r="AZ10" s="57">
        <f>ROUND(Scores!AZ10,$C$1)</f>
        <v>64.6</v>
      </c>
      <c r="BA10" s="57">
        <f>ROUND(Scores!BA10,$C$1)</f>
        <v>58.4</v>
      </c>
      <c r="BB10" s="57">
        <f>ROUND(Scores!BB10,$C$1)</f>
        <v>57.45</v>
      </c>
      <c r="BC10" s="57">
        <f>ROUND(Scores!BC10,$C$1)</f>
        <v>56.67</v>
      </c>
      <c r="BD10" s="57">
        <f>ROUND(Scores!BD10,$C$1)</f>
        <v>62.62</v>
      </c>
      <c r="BE10" s="57">
        <f>ROUND(Scores!BE10,$C$1)</f>
        <v>68.81</v>
      </c>
      <c r="BF10" s="57">
        <f>ROUND(Scores!BF10,$C$1)</f>
        <v>51.54</v>
      </c>
      <c r="BG10" s="57">
        <f>ROUND(Scores!BG10,$C$1)</f>
        <v>60.78</v>
      </c>
      <c r="BH10" s="57">
        <f>ROUND(Scores!BH10,$C$1)</f>
        <v>60.29</v>
      </c>
      <c r="BI10" s="57">
        <f>ROUND(Scores!BI10,$C$1)</f>
        <v>67.04</v>
      </c>
      <c r="BJ10" s="57">
        <f>ROUND(Scores!BJ10,$C$1)</f>
        <v>46.83</v>
      </c>
      <c r="BK10" s="57">
        <f>ROUND(Scores!BK10,$C$1)</f>
        <v>69.42</v>
      </c>
    </row>
    <row r="11" s="21" customFormat="1" spans="1:63">
      <c r="A11" s="30"/>
      <c r="B11" s="30"/>
      <c r="C11" s="30"/>
      <c r="D11" s="53"/>
      <c r="E11" s="53"/>
      <c r="F11" s="53"/>
      <c r="G11" s="53"/>
      <c r="H11" s="53"/>
      <c r="I11" s="53"/>
      <c r="J11" s="53"/>
      <c r="K11" s="58"/>
      <c r="L11" s="59" t="str">
        <f>tblIndicators!Z4</f>
        <v>1.1) Digital Security (Inputs)</v>
      </c>
      <c r="M11" s="60"/>
      <c r="N11" s="61">
        <f>ROUND(Scores!N11,$C$1)</f>
        <v>69.33</v>
      </c>
      <c r="O11" s="61">
        <f>ROUND(Scores!O11,$C$1)</f>
        <v>45.67</v>
      </c>
      <c r="P11" s="61">
        <f>ROUND(Scores!P11,$C$1)</f>
        <v>38.33</v>
      </c>
      <c r="Q11" s="61">
        <f>ROUND(Scores!Q11,$C$1)</f>
        <v>53.67</v>
      </c>
      <c r="R11" s="61">
        <f>ROUND(Scores!R11,$C$1)</f>
        <v>53.67</v>
      </c>
      <c r="S11" s="61">
        <f>ROUND(Scores!S11,$C$1)</f>
        <v>75.33</v>
      </c>
      <c r="T11" s="61">
        <f>ROUND(Scores!T11,$C$1)</f>
        <v>75.33</v>
      </c>
      <c r="U11" s="61">
        <f>ROUND(Scores!U11,$C$1)</f>
        <v>71.33</v>
      </c>
      <c r="V11" s="61">
        <f>ROUND(Scores!V11,$C$1)</f>
        <v>71.33</v>
      </c>
      <c r="W11" s="61">
        <f>ROUND(Scores!W11,$C$1)</f>
        <v>75.33</v>
      </c>
      <c r="X11" s="61">
        <f>ROUND(Scores!X11,$C$1)</f>
        <v>56.33</v>
      </c>
      <c r="Y11" s="61">
        <f>ROUND(Scores!Y11,$C$1)</f>
        <v>60.33</v>
      </c>
      <c r="Z11" s="61">
        <f>ROUND(Scores!Z11,$C$1)</f>
        <v>60.33</v>
      </c>
      <c r="AA11" s="61">
        <f>ROUND(Scores!AA11,$C$1)</f>
        <v>85.33</v>
      </c>
      <c r="AB11" s="61">
        <f>ROUND(Scores!AB11,$C$1)</f>
        <v>65.33</v>
      </c>
      <c r="AC11" s="61">
        <f>ROUND(Scores!AC11,$C$1)</f>
        <v>71.33</v>
      </c>
      <c r="AD11" s="61">
        <f>ROUND(Scores!AD11,$C$1)</f>
        <v>61.33</v>
      </c>
      <c r="AE11" s="61">
        <f>ROUND(Scores!AE11,$C$1)</f>
        <v>81.33</v>
      </c>
      <c r="AF11" s="61">
        <f>ROUND(Scores!AF11,$C$1)</f>
        <v>57.67</v>
      </c>
      <c r="AG11" s="61">
        <f>ROUND(Scores!AG11,$C$1)</f>
        <v>57.67</v>
      </c>
      <c r="AH11" s="61">
        <f>ROUND(Scores!AH11,$C$1)</f>
        <v>67.67</v>
      </c>
      <c r="AI11" s="61">
        <f>ROUND(Scores!AI11,$C$1)</f>
        <v>57.67</v>
      </c>
      <c r="AJ11" s="61">
        <f>ROUND(Scores!AJ11,$C$1)</f>
        <v>57.67</v>
      </c>
      <c r="AK11" s="61">
        <f>ROUND(Scores!AK11,$C$1)</f>
        <v>87</v>
      </c>
      <c r="AL11" s="61">
        <f>ROUND(Scores!AL11,$C$1)</f>
        <v>77</v>
      </c>
      <c r="AM11" s="61">
        <f>ROUND(Scores!AM11,$C$1)</f>
        <v>50.33</v>
      </c>
      <c r="AN11" s="61">
        <f>ROUND(Scores!AN11,$C$1)</f>
        <v>36</v>
      </c>
      <c r="AO11" s="61">
        <f>ROUND(Scores!AO11,$C$1)</f>
        <v>78.67</v>
      </c>
      <c r="AP11" s="61">
        <f>ROUND(Scores!AP11,$C$1)</f>
        <v>58.67</v>
      </c>
      <c r="AQ11" s="61">
        <f>ROUND(Scores!AQ11,$C$1)</f>
        <v>85.33</v>
      </c>
      <c r="AR11" s="61">
        <f>ROUND(Scores!AR11,$C$1)</f>
        <v>57.33</v>
      </c>
      <c r="AS11" s="61">
        <f>ROUND(Scores!AS11,$C$1)</f>
        <v>48.67</v>
      </c>
      <c r="AT11" s="61">
        <f>ROUND(Scores!AT11,$C$1)</f>
        <v>57.67</v>
      </c>
      <c r="AU11" s="61">
        <f>ROUND(Scores!AU11,$C$1)</f>
        <v>57.67</v>
      </c>
      <c r="AV11" s="61">
        <f>ROUND(Scores!AV11,$C$1)</f>
        <v>53.67</v>
      </c>
      <c r="AW11" s="61">
        <f>ROUND(Scores!AW11,$C$1)</f>
        <v>39.67</v>
      </c>
      <c r="AX11" s="61">
        <f>ROUND(Scores!AX11,$C$1)</f>
        <v>53.67</v>
      </c>
      <c r="AY11" s="61">
        <f>ROUND(Scores!AY11,$C$1)</f>
        <v>67.33</v>
      </c>
      <c r="AZ11" s="61">
        <f>ROUND(Scores!AZ11,$C$1)</f>
        <v>53.33</v>
      </c>
      <c r="BA11" s="61">
        <f>ROUND(Scores!BA11,$C$1)</f>
        <v>48</v>
      </c>
      <c r="BB11" s="61">
        <f>ROUND(Scores!BB11,$C$1)</f>
        <v>50.67</v>
      </c>
      <c r="BC11" s="61">
        <f>ROUND(Scores!BC11,$C$1)</f>
        <v>44</v>
      </c>
      <c r="BD11" s="61">
        <f>ROUND(Scores!BD11,$C$1)</f>
        <v>54</v>
      </c>
      <c r="BE11" s="61">
        <f>ROUND(Scores!BE11,$C$1)</f>
        <v>46.67</v>
      </c>
      <c r="BF11" s="61">
        <f>ROUND(Scores!BF11,$C$1)</f>
        <v>53.67</v>
      </c>
      <c r="BG11" s="61">
        <f>ROUND(Scores!BG11,$C$1)</f>
        <v>61.33</v>
      </c>
      <c r="BH11" s="61">
        <f>ROUND(Scores!BH11,$C$1)</f>
        <v>61.33</v>
      </c>
      <c r="BI11" s="61">
        <f>ROUND(Scores!BI11,$C$1)</f>
        <v>54.67</v>
      </c>
      <c r="BJ11" s="61">
        <f>ROUND(Scores!BJ11,$C$1)</f>
        <v>43.67</v>
      </c>
      <c r="BK11" s="61">
        <f>ROUND(Scores!BK11,$C$1)</f>
        <v>61.33</v>
      </c>
    </row>
    <row r="12" s="22" customFormat="1" spans="1:63">
      <c r="A12" s="24"/>
      <c r="B12" s="24"/>
      <c r="C12" s="24"/>
      <c r="D12" s="52"/>
      <c r="E12" s="52"/>
      <c r="F12" s="52"/>
      <c r="G12" s="52"/>
      <c r="H12" s="52"/>
      <c r="I12" s="52"/>
      <c r="J12" s="52"/>
      <c r="K12" s="54"/>
      <c r="L12" s="62" t="str">
        <f>tblIndicators!Z5</f>
        <v>1.1.1) Privacy policy</v>
      </c>
      <c r="M12" s="63"/>
      <c r="N12" s="64">
        <f>ROUND(Scores!N12,$C$1)</f>
        <v>80</v>
      </c>
      <c r="O12" s="64">
        <f>ROUND(Scores!O12,$C$1)</f>
        <v>20</v>
      </c>
      <c r="P12" s="64">
        <f>ROUND(Scores!P12,$C$1)</f>
        <v>0</v>
      </c>
      <c r="Q12" s="64">
        <f>ROUND(Scores!Q12,$C$1)</f>
        <v>60</v>
      </c>
      <c r="R12" s="64">
        <f>ROUND(Scores!R12,$C$1)</f>
        <v>60</v>
      </c>
      <c r="S12" s="64">
        <f>ROUND(Scores!S12,$C$1)</f>
        <v>60</v>
      </c>
      <c r="T12" s="64">
        <f>ROUND(Scores!T12,$C$1)</f>
        <v>60</v>
      </c>
      <c r="U12" s="64">
        <f>ROUND(Scores!U12,$C$1)</f>
        <v>40</v>
      </c>
      <c r="V12" s="64">
        <f>ROUND(Scores!V12,$C$1)</f>
        <v>40</v>
      </c>
      <c r="W12" s="64">
        <f>ROUND(Scores!W12,$C$1)</f>
        <v>60</v>
      </c>
      <c r="X12" s="64">
        <f>ROUND(Scores!X12,$C$1)</f>
        <v>40</v>
      </c>
      <c r="Y12" s="64">
        <f>ROUND(Scores!Y12,$C$1)</f>
        <v>60</v>
      </c>
      <c r="Z12" s="64">
        <f>ROUND(Scores!Z12,$C$1)</f>
        <v>60</v>
      </c>
      <c r="AA12" s="64">
        <f>ROUND(Scores!AA12,$C$1)</f>
        <v>60</v>
      </c>
      <c r="AB12" s="64">
        <f>ROUND(Scores!AB12,$C$1)</f>
        <v>60</v>
      </c>
      <c r="AC12" s="64">
        <f>ROUND(Scores!AC12,$C$1)</f>
        <v>40</v>
      </c>
      <c r="AD12" s="64">
        <f>ROUND(Scores!AD12,$C$1)</f>
        <v>40</v>
      </c>
      <c r="AE12" s="64">
        <f>ROUND(Scores!AE12,$C$1)</f>
        <v>40</v>
      </c>
      <c r="AF12" s="64">
        <f>ROUND(Scores!AF12,$C$1)</f>
        <v>80</v>
      </c>
      <c r="AG12" s="64">
        <f>ROUND(Scores!AG12,$C$1)</f>
        <v>80</v>
      </c>
      <c r="AH12" s="64">
        <f>ROUND(Scores!AH12,$C$1)</f>
        <v>80</v>
      </c>
      <c r="AI12" s="64">
        <f>ROUND(Scores!AI12,$C$1)</f>
        <v>80</v>
      </c>
      <c r="AJ12" s="64">
        <f>ROUND(Scores!AJ12,$C$1)</f>
        <v>80</v>
      </c>
      <c r="AK12" s="64">
        <f>ROUND(Scores!AK12,$C$1)</f>
        <v>60</v>
      </c>
      <c r="AL12" s="64">
        <f>ROUND(Scores!AL12,$C$1)</f>
        <v>60</v>
      </c>
      <c r="AM12" s="64">
        <f>ROUND(Scores!AM12,$C$1)</f>
        <v>60</v>
      </c>
      <c r="AN12" s="64">
        <f>ROUND(Scores!AN12,$C$1)</f>
        <v>80</v>
      </c>
      <c r="AO12" s="64">
        <f>ROUND(Scores!AO12,$C$1)</f>
        <v>60</v>
      </c>
      <c r="AP12" s="64">
        <f>ROUND(Scores!AP12,$C$1)</f>
        <v>60</v>
      </c>
      <c r="AQ12" s="64">
        <f>ROUND(Scores!AQ12,$C$1)</f>
        <v>60</v>
      </c>
      <c r="AR12" s="64">
        <f>ROUND(Scores!AR12,$C$1)</f>
        <v>20</v>
      </c>
      <c r="AS12" s="64">
        <f>ROUND(Scores!AS12,$C$1)</f>
        <v>60</v>
      </c>
      <c r="AT12" s="64">
        <f>ROUND(Scores!AT12,$C$1)</f>
        <v>80</v>
      </c>
      <c r="AU12" s="64">
        <f>ROUND(Scores!AU12,$C$1)</f>
        <v>80</v>
      </c>
      <c r="AV12" s="64">
        <f>ROUND(Scores!AV12,$C$1)</f>
        <v>60</v>
      </c>
      <c r="AW12" s="64">
        <f>ROUND(Scores!AW12,$C$1)</f>
        <v>40</v>
      </c>
      <c r="AX12" s="64">
        <f>ROUND(Scores!AX12,$C$1)</f>
        <v>60</v>
      </c>
      <c r="AY12" s="64">
        <f>ROUND(Scores!AY12,$C$1)</f>
        <v>20</v>
      </c>
      <c r="AZ12" s="64">
        <f>ROUND(Scores!AZ12,$C$1)</f>
        <v>0</v>
      </c>
      <c r="BA12" s="64">
        <f>ROUND(Scores!BA12,$C$1)</f>
        <v>40</v>
      </c>
      <c r="BB12" s="64">
        <f>ROUND(Scores!BB12,$C$1)</f>
        <v>20</v>
      </c>
      <c r="BC12" s="64">
        <f>ROUND(Scores!BC12,$C$1)</f>
        <v>20</v>
      </c>
      <c r="BD12" s="64">
        <f>ROUND(Scores!BD12,$C$1)</f>
        <v>20</v>
      </c>
      <c r="BE12" s="64">
        <f>ROUND(Scores!BE12,$C$1)</f>
        <v>0</v>
      </c>
      <c r="BF12" s="64">
        <f>ROUND(Scores!BF12,$C$1)</f>
        <v>60</v>
      </c>
      <c r="BG12" s="64">
        <f>ROUND(Scores!BG12,$C$1)</f>
        <v>40</v>
      </c>
      <c r="BH12" s="64">
        <f>ROUND(Scores!BH12,$C$1)</f>
        <v>40</v>
      </c>
      <c r="BI12" s="64">
        <f>ROUND(Scores!BI12,$C$1)</f>
        <v>40</v>
      </c>
      <c r="BJ12" s="64">
        <f>ROUND(Scores!BJ12,$C$1)</f>
        <v>60</v>
      </c>
      <c r="BK12" s="64">
        <f>ROUND(Scores!BK12,$C$1)</f>
        <v>40</v>
      </c>
    </row>
    <row r="13" s="22" customFormat="1" spans="1:63">
      <c r="A13" s="24"/>
      <c r="B13" s="24"/>
      <c r="C13" s="24"/>
      <c r="D13" s="52"/>
      <c r="E13" s="52"/>
      <c r="F13" s="52"/>
      <c r="G13" s="52"/>
      <c r="H13" s="52"/>
      <c r="I13" s="52"/>
      <c r="J13" s="52"/>
      <c r="K13" s="54"/>
      <c r="L13" s="62" t="str">
        <f>tblIndicators!Z6</f>
        <v>1.1.2) Citizen awareness of digital threats</v>
      </c>
      <c r="M13" s="63"/>
      <c r="N13" s="64">
        <f>ROUND(Scores!N13,$C$1)</f>
        <v>66.67</v>
      </c>
      <c r="O13" s="64">
        <f>ROUND(Scores!O13,$C$1)</f>
        <v>33.33</v>
      </c>
      <c r="P13" s="64">
        <f>ROUND(Scores!P13,$C$1)</f>
        <v>66.67</v>
      </c>
      <c r="Q13" s="64">
        <f>ROUND(Scores!Q13,$C$1)</f>
        <v>33.33</v>
      </c>
      <c r="R13" s="64">
        <f>ROUND(Scores!R13,$C$1)</f>
        <v>33.33</v>
      </c>
      <c r="S13" s="64">
        <f>ROUND(Scores!S13,$C$1)</f>
        <v>66.67</v>
      </c>
      <c r="T13" s="64">
        <f>ROUND(Scores!T13,$C$1)</f>
        <v>66.67</v>
      </c>
      <c r="U13" s="64">
        <f>ROUND(Scores!U13,$C$1)</f>
        <v>66.67</v>
      </c>
      <c r="V13" s="64">
        <f>ROUND(Scores!V13,$C$1)</f>
        <v>66.67</v>
      </c>
      <c r="W13" s="64">
        <f>ROUND(Scores!W13,$C$1)</f>
        <v>66.67</v>
      </c>
      <c r="X13" s="64">
        <f>ROUND(Scores!X13,$C$1)</f>
        <v>66.67</v>
      </c>
      <c r="Y13" s="64">
        <f>ROUND(Scores!Y13,$C$1)</f>
        <v>66.67</v>
      </c>
      <c r="Z13" s="64">
        <f>ROUND(Scores!Z13,$C$1)</f>
        <v>66.67</v>
      </c>
      <c r="AA13" s="64">
        <f>ROUND(Scores!AA13,$C$1)</f>
        <v>66.67</v>
      </c>
      <c r="AB13" s="64">
        <f>ROUND(Scores!AB13,$C$1)</f>
        <v>66.67</v>
      </c>
      <c r="AC13" s="64">
        <f>ROUND(Scores!AC13,$C$1)</f>
        <v>66.67</v>
      </c>
      <c r="AD13" s="64">
        <f>ROUND(Scores!AD13,$C$1)</f>
        <v>66.67</v>
      </c>
      <c r="AE13" s="64">
        <f>ROUND(Scores!AE13,$C$1)</f>
        <v>66.67</v>
      </c>
      <c r="AF13" s="64">
        <f>ROUND(Scores!AF13,$C$1)</f>
        <v>33.33</v>
      </c>
      <c r="AG13" s="64">
        <f>ROUND(Scores!AG13,$C$1)</f>
        <v>33.33</v>
      </c>
      <c r="AH13" s="64">
        <f>ROUND(Scores!AH13,$C$1)</f>
        <v>33.33</v>
      </c>
      <c r="AI13" s="64">
        <f>ROUND(Scores!AI13,$C$1)</f>
        <v>33.33</v>
      </c>
      <c r="AJ13" s="64">
        <f>ROUND(Scores!AJ13,$C$1)</f>
        <v>33.33</v>
      </c>
      <c r="AK13" s="64">
        <f>ROUND(Scores!AK13,$C$1)</f>
        <v>100</v>
      </c>
      <c r="AL13" s="64">
        <f>ROUND(Scores!AL13,$C$1)</f>
        <v>100</v>
      </c>
      <c r="AM13" s="64">
        <f>ROUND(Scores!AM13,$C$1)</f>
        <v>66.67</v>
      </c>
      <c r="AN13" s="64">
        <f>ROUND(Scores!AN13,$C$1)</f>
        <v>0</v>
      </c>
      <c r="AO13" s="64">
        <f>ROUND(Scores!AO13,$C$1)</f>
        <v>33.33</v>
      </c>
      <c r="AP13" s="64">
        <f>ROUND(Scores!AP13,$C$1)</f>
        <v>33.33</v>
      </c>
      <c r="AQ13" s="64">
        <f>ROUND(Scores!AQ13,$C$1)</f>
        <v>66.67</v>
      </c>
      <c r="AR13" s="64">
        <f>ROUND(Scores!AR13,$C$1)</f>
        <v>66.67</v>
      </c>
      <c r="AS13" s="64">
        <f>ROUND(Scores!AS13,$C$1)</f>
        <v>33.33</v>
      </c>
      <c r="AT13" s="64">
        <f>ROUND(Scores!AT13,$C$1)</f>
        <v>33.33</v>
      </c>
      <c r="AU13" s="64">
        <f>ROUND(Scores!AU13,$C$1)</f>
        <v>33.33</v>
      </c>
      <c r="AV13" s="64">
        <f>ROUND(Scores!AV13,$C$1)</f>
        <v>33.33</v>
      </c>
      <c r="AW13" s="64">
        <f>ROUND(Scores!AW13,$C$1)</f>
        <v>33.33</v>
      </c>
      <c r="AX13" s="64">
        <f>ROUND(Scores!AX13,$C$1)</f>
        <v>33.33</v>
      </c>
      <c r="AY13" s="64">
        <f>ROUND(Scores!AY13,$C$1)</f>
        <v>66.67</v>
      </c>
      <c r="AZ13" s="64">
        <f>ROUND(Scores!AZ13,$C$1)</f>
        <v>66.67</v>
      </c>
      <c r="BA13" s="64">
        <f>ROUND(Scores!BA13,$C$1)</f>
        <v>0</v>
      </c>
      <c r="BB13" s="64">
        <f>ROUND(Scores!BB13,$C$1)</f>
        <v>33.33</v>
      </c>
      <c r="BC13" s="64">
        <f>ROUND(Scores!BC13,$C$1)</f>
        <v>0</v>
      </c>
      <c r="BD13" s="64">
        <f>ROUND(Scores!BD13,$C$1)</f>
        <v>0</v>
      </c>
      <c r="BE13" s="64">
        <f>ROUND(Scores!BE13,$C$1)</f>
        <v>33.33</v>
      </c>
      <c r="BF13" s="64">
        <f>ROUND(Scores!BF13,$C$1)</f>
        <v>33.33</v>
      </c>
      <c r="BG13" s="64">
        <f>ROUND(Scores!BG13,$C$1)</f>
        <v>66.67</v>
      </c>
      <c r="BH13" s="64">
        <f>ROUND(Scores!BH13,$C$1)</f>
        <v>66.67</v>
      </c>
      <c r="BI13" s="64">
        <f>ROUND(Scores!BI13,$C$1)</f>
        <v>33.33</v>
      </c>
      <c r="BJ13" s="64">
        <f>ROUND(Scores!BJ13,$C$1)</f>
        <v>33.33</v>
      </c>
      <c r="BK13" s="64">
        <f>ROUND(Scores!BK13,$C$1)</f>
        <v>66.67</v>
      </c>
    </row>
    <row r="14" s="22" customFormat="1" spans="1:63">
      <c r="A14" s="24"/>
      <c r="B14" s="24"/>
      <c r="C14" s="24"/>
      <c r="D14" s="52"/>
      <c r="E14" s="52"/>
      <c r="F14" s="52"/>
      <c r="G14" s="52"/>
      <c r="H14" s="52"/>
      <c r="I14" s="52"/>
      <c r="J14" s="52"/>
      <c r="K14" s="54"/>
      <c r="L14" s="62" t="str">
        <f>tblIndicators!Z7</f>
        <v>1.1.3) City reliance on digital infrastructure</v>
      </c>
      <c r="M14" s="63"/>
      <c r="N14" s="64">
        <f>ROUND(Scores!N14,$C$1)</f>
        <v>0</v>
      </c>
      <c r="O14" s="64">
        <f>ROUND(Scores!O14,$C$1)</f>
        <v>0</v>
      </c>
      <c r="P14" s="64">
        <f>ROUND(Scores!P14,$C$1)</f>
        <v>0</v>
      </c>
      <c r="Q14" s="64">
        <f>ROUND(Scores!Q14,$C$1)</f>
        <v>0</v>
      </c>
      <c r="R14" s="64">
        <f>ROUND(Scores!R14,$C$1)</f>
        <v>0</v>
      </c>
      <c r="S14" s="64">
        <f>ROUND(Scores!S14,$C$1)</f>
        <v>0</v>
      </c>
      <c r="T14" s="64">
        <f>ROUND(Scores!T14,$C$1)</f>
        <v>0</v>
      </c>
      <c r="U14" s="64">
        <f>ROUND(Scores!U14,$C$1)</f>
        <v>0</v>
      </c>
      <c r="V14" s="64">
        <f>ROUND(Scores!V14,$C$1)</f>
        <v>0</v>
      </c>
      <c r="W14" s="64">
        <f>ROUND(Scores!W14,$C$1)</f>
        <v>0</v>
      </c>
      <c r="X14" s="64">
        <f>ROUND(Scores!X14,$C$1)</f>
        <v>0</v>
      </c>
      <c r="Y14" s="64">
        <f>ROUND(Scores!Y14,$C$1)</f>
        <v>0</v>
      </c>
      <c r="Z14" s="64">
        <f>ROUND(Scores!Z14,$C$1)</f>
        <v>0</v>
      </c>
      <c r="AA14" s="64">
        <f>ROUND(Scores!AA14,$C$1)</f>
        <v>0</v>
      </c>
      <c r="AB14" s="64">
        <f>ROUND(Scores!AB14,$C$1)</f>
        <v>0</v>
      </c>
      <c r="AC14" s="64">
        <f>ROUND(Scores!AC14,$C$1)</f>
        <v>0</v>
      </c>
      <c r="AD14" s="64">
        <f>ROUND(Scores!AD14,$C$1)</f>
        <v>0</v>
      </c>
      <c r="AE14" s="64">
        <f>ROUND(Scores!AE14,$C$1)</f>
        <v>0</v>
      </c>
      <c r="AF14" s="64">
        <f>ROUND(Scores!AF14,$C$1)</f>
        <v>0</v>
      </c>
      <c r="AG14" s="64">
        <f>ROUND(Scores!AG14,$C$1)</f>
        <v>0</v>
      </c>
      <c r="AH14" s="64">
        <f>ROUND(Scores!AH14,$C$1)</f>
        <v>0</v>
      </c>
      <c r="AI14" s="64">
        <f>ROUND(Scores!AI14,$C$1)</f>
        <v>0</v>
      </c>
      <c r="AJ14" s="64">
        <f>ROUND(Scores!AJ14,$C$1)</f>
        <v>0</v>
      </c>
      <c r="AK14" s="64">
        <f>ROUND(Scores!AK14,$C$1)</f>
        <v>0</v>
      </c>
      <c r="AL14" s="64">
        <f>ROUND(Scores!AL14,$C$1)</f>
        <v>0</v>
      </c>
      <c r="AM14" s="64">
        <f>ROUND(Scores!AM14,$C$1)</f>
        <v>0</v>
      </c>
      <c r="AN14" s="64">
        <f>ROUND(Scores!AN14,$C$1)</f>
        <v>0</v>
      </c>
      <c r="AO14" s="64">
        <f>ROUND(Scores!AO14,$C$1)</f>
        <v>0</v>
      </c>
      <c r="AP14" s="64">
        <f>ROUND(Scores!AP14,$C$1)</f>
        <v>0</v>
      </c>
      <c r="AQ14" s="64">
        <f>ROUND(Scores!AQ14,$C$1)</f>
        <v>0</v>
      </c>
      <c r="AR14" s="64">
        <f>ROUND(Scores!AR14,$C$1)</f>
        <v>0</v>
      </c>
      <c r="AS14" s="64">
        <f>ROUND(Scores!AS14,$C$1)</f>
        <v>0</v>
      </c>
      <c r="AT14" s="64">
        <f>ROUND(Scores!AT14,$C$1)</f>
        <v>0</v>
      </c>
      <c r="AU14" s="64">
        <f>ROUND(Scores!AU14,$C$1)</f>
        <v>0</v>
      </c>
      <c r="AV14" s="64">
        <f>ROUND(Scores!AV14,$C$1)</f>
        <v>0</v>
      </c>
      <c r="AW14" s="64">
        <f>ROUND(Scores!AW14,$C$1)</f>
        <v>0</v>
      </c>
      <c r="AX14" s="64">
        <f>ROUND(Scores!AX14,$C$1)</f>
        <v>0</v>
      </c>
      <c r="AY14" s="64">
        <f>ROUND(Scores!AY14,$C$1)</f>
        <v>0</v>
      </c>
      <c r="AZ14" s="64">
        <f>ROUND(Scores!AZ14,$C$1)</f>
        <v>0</v>
      </c>
      <c r="BA14" s="64">
        <f>ROUND(Scores!BA14,$C$1)</f>
        <v>0</v>
      </c>
      <c r="BB14" s="64">
        <f>ROUND(Scores!BB14,$C$1)</f>
        <v>0</v>
      </c>
      <c r="BC14" s="64">
        <f>ROUND(Scores!BC14,$C$1)</f>
        <v>0</v>
      </c>
      <c r="BD14" s="64">
        <f>ROUND(Scores!BD14,$C$1)</f>
        <v>0</v>
      </c>
      <c r="BE14" s="64">
        <f>ROUND(Scores!BE14,$C$1)</f>
        <v>0</v>
      </c>
      <c r="BF14" s="64">
        <f>ROUND(Scores!BF14,$C$1)</f>
        <v>0</v>
      </c>
      <c r="BG14" s="64">
        <f>ROUND(Scores!BG14,$C$1)</f>
        <v>0</v>
      </c>
      <c r="BH14" s="64">
        <f>ROUND(Scores!BH14,$C$1)</f>
        <v>0</v>
      </c>
      <c r="BI14" s="64">
        <f>ROUND(Scores!BI14,$C$1)</f>
        <v>0</v>
      </c>
      <c r="BJ14" s="64">
        <f>ROUND(Scores!BJ14,$C$1)</f>
        <v>0</v>
      </c>
      <c r="BK14" s="64">
        <f>ROUND(Scores!BK14,$C$1)</f>
        <v>0</v>
      </c>
    </row>
    <row r="15" s="22" customFormat="1" spans="1:63">
      <c r="A15" s="24"/>
      <c r="B15" s="24"/>
      <c r="C15" s="24"/>
      <c r="D15" s="52"/>
      <c r="E15" s="52"/>
      <c r="F15" s="52"/>
      <c r="G15" s="52"/>
      <c r="H15" s="52"/>
      <c r="I15" s="52"/>
      <c r="J15" s="52"/>
      <c r="K15" s="54"/>
      <c r="L15" s="62" t="str">
        <f>tblIndicators!Z8</f>
        <v>1.1.4) Public-private partnerships</v>
      </c>
      <c r="M15" s="63"/>
      <c r="N15" s="64">
        <f>ROUND(Scores!N15,$C$1)</f>
        <v>50</v>
      </c>
      <c r="O15" s="64">
        <f>ROUND(Scores!O15,$C$1)</f>
        <v>50</v>
      </c>
      <c r="P15" s="64">
        <f>ROUND(Scores!P15,$C$1)</f>
        <v>0</v>
      </c>
      <c r="Q15" s="64">
        <f>ROUND(Scores!Q15,$C$1)</f>
        <v>50</v>
      </c>
      <c r="R15" s="64">
        <f>ROUND(Scores!R15,$C$1)</f>
        <v>50</v>
      </c>
      <c r="S15" s="64">
        <f>ROUND(Scores!S15,$C$1)</f>
        <v>50</v>
      </c>
      <c r="T15" s="64">
        <f>ROUND(Scores!T15,$C$1)</f>
        <v>50</v>
      </c>
      <c r="U15" s="64">
        <f>ROUND(Scores!U15,$C$1)</f>
        <v>50</v>
      </c>
      <c r="V15" s="64">
        <f>ROUND(Scores!V15,$C$1)</f>
        <v>100</v>
      </c>
      <c r="W15" s="64">
        <f>ROUND(Scores!W15,$C$1)</f>
        <v>50</v>
      </c>
      <c r="X15" s="64">
        <f>ROUND(Scores!X15,$C$1)</f>
        <v>50</v>
      </c>
      <c r="Y15" s="64">
        <f>ROUND(Scores!Y15,$C$1)</f>
        <v>50</v>
      </c>
      <c r="Z15" s="64">
        <f>ROUND(Scores!Z15,$C$1)</f>
        <v>50</v>
      </c>
      <c r="AA15" s="64">
        <f>ROUND(Scores!AA15,$C$1)</f>
        <v>100</v>
      </c>
      <c r="AB15" s="64">
        <f>ROUND(Scores!AB15,$C$1)</f>
        <v>50</v>
      </c>
      <c r="AC15" s="64">
        <f>ROUND(Scores!AC15,$C$1)</f>
        <v>50</v>
      </c>
      <c r="AD15" s="64">
        <f>ROUND(Scores!AD15,$C$1)</f>
        <v>50</v>
      </c>
      <c r="AE15" s="64">
        <f>ROUND(Scores!AE15,$C$1)</f>
        <v>100</v>
      </c>
      <c r="AF15" s="64">
        <f>ROUND(Scores!AF15,$C$1)</f>
        <v>50</v>
      </c>
      <c r="AG15" s="64">
        <f>ROUND(Scores!AG15,$C$1)</f>
        <v>50</v>
      </c>
      <c r="AH15" s="64">
        <f>ROUND(Scores!AH15,$C$1)</f>
        <v>50</v>
      </c>
      <c r="AI15" s="64">
        <f>ROUND(Scores!AI15,$C$1)</f>
        <v>50</v>
      </c>
      <c r="AJ15" s="64">
        <f>ROUND(Scores!AJ15,$C$1)</f>
        <v>50</v>
      </c>
      <c r="AK15" s="64">
        <f>ROUND(Scores!AK15,$C$1)</f>
        <v>100</v>
      </c>
      <c r="AL15" s="64">
        <f>ROUND(Scores!AL15,$C$1)</f>
        <v>100</v>
      </c>
      <c r="AM15" s="64">
        <f>ROUND(Scores!AM15,$C$1)</f>
        <v>0</v>
      </c>
      <c r="AN15" s="64">
        <f>ROUND(Scores!AN15,$C$1)</f>
        <v>0</v>
      </c>
      <c r="AO15" s="64">
        <f>ROUND(Scores!AO15,$C$1)</f>
        <v>100</v>
      </c>
      <c r="AP15" s="64">
        <f>ROUND(Scores!AP15,$C$1)</f>
        <v>50</v>
      </c>
      <c r="AQ15" s="64">
        <f>ROUND(Scores!AQ15,$C$1)</f>
        <v>100</v>
      </c>
      <c r="AR15" s="64">
        <f>ROUND(Scores!AR15,$C$1)</f>
        <v>50</v>
      </c>
      <c r="AS15" s="64">
        <f>ROUND(Scores!AS15,$C$1)</f>
        <v>0</v>
      </c>
      <c r="AT15" s="64">
        <f>ROUND(Scores!AT15,$C$1)</f>
        <v>50</v>
      </c>
      <c r="AU15" s="64">
        <f>ROUND(Scores!AU15,$C$1)</f>
        <v>50</v>
      </c>
      <c r="AV15" s="64">
        <f>ROUND(Scores!AV15,$C$1)</f>
        <v>50</v>
      </c>
      <c r="AW15" s="64">
        <f>ROUND(Scores!AW15,$C$1)</f>
        <v>0</v>
      </c>
      <c r="AX15" s="64">
        <f>ROUND(Scores!AX15,$C$1)</f>
        <v>50</v>
      </c>
      <c r="AY15" s="64">
        <f>ROUND(Scores!AY15,$C$1)</f>
        <v>50</v>
      </c>
      <c r="AZ15" s="64">
        <f>ROUND(Scores!AZ15,$C$1)</f>
        <v>50</v>
      </c>
      <c r="BA15" s="64">
        <f>ROUND(Scores!BA15,$C$1)</f>
        <v>50</v>
      </c>
      <c r="BB15" s="64">
        <f>ROUND(Scores!BB15,$C$1)</f>
        <v>50</v>
      </c>
      <c r="BC15" s="64">
        <f>ROUND(Scores!BC15,$C$1)</f>
        <v>50</v>
      </c>
      <c r="BD15" s="64">
        <f>ROUND(Scores!BD15,$C$1)</f>
        <v>50</v>
      </c>
      <c r="BE15" s="64">
        <f>ROUND(Scores!BE15,$C$1)</f>
        <v>50</v>
      </c>
      <c r="BF15" s="64">
        <f>ROUND(Scores!BF15,$C$1)</f>
        <v>50</v>
      </c>
      <c r="BG15" s="64">
        <f>ROUND(Scores!BG15,$C$1)</f>
        <v>50</v>
      </c>
      <c r="BH15" s="64">
        <f>ROUND(Scores!BH15,$C$1)</f>
        <v>0</v>
      </c>
      <c r="BI15" s="64">
        <f>ROUND(Scores!BI15,$C$1)</f>
        <v>50</v>
      </c>
      <c r="BJ15" s="64">
        <f>ROUND(Scores!BJ15,$C$1)</f>
        <v>0</v>
      </c>
      <c r="BK15" s="64">
        <f>ROUND(Scores!BK15,$C$1)</f>
        <v>50</v>
      </c>
    </row>
    <row r="16" s="22" customFormat="1" spans="1:63">
      <c r="A16" s="24"/>
      <c r="B16" s="24"/>
      <c r="C16" s="24"/>
      <c r="D16" s="52"/>
      <c r="E16" s="52"/>
      <c r="F16" s="52"/>
      <c r="G16" s="52"/>
      <c r="H16" s="52"/>
      <c r="I16" s="52"/>
      <c r="J16" s="52"/>
      <c r="K16" s="54"/>
      <c r="L16" s="62" t="str">
        <f>tblIndicators!Z9</f>
        <v>1.1.5) Level of technology employed</v>
      </c>
      <c r="M16" s="63"/>
      <c r="N16" s="64">
        <f>ROUND(Scores!N16,$C$1)</f>
        <v>100</v>
      </c>
      <c r="O16" s="64">
        <f>ROUND(Scores!O16,$C$1)</f>
        <v>75</v>
      </c>
      <c r="P16" s="64">
        <f>ROUND(Scores!P16,$C$1)</f>
        <v>75</v>
      </c>
      <c r="Q16" s="64">
        <f>ROUND(Scores!Q16,$C$1)</f>
        <v>75</v>
      </c>
      <c r="R16" s="64">
        <f>ROUND(Scores!R16,$C$1)</f>
        <v>75</v>
      </c>
      <c r="S16" s="64">
        <f>ROUND(Scores!S16,$C$1)</f>
        <v>100</v>
      </c>
      <c r="T16" s="64">
        <f>ROUND(Scores!T16,$C$1)</f>
        <v>100</v>
      </c>
      <c r="U16" s="64">
        <f>ROUND(Scores!U16,$C$1)</f>
        <v>100</v>
      </c>
      <c r="V16" s="64">
        <f>ROUND(Scores!V16,$C$1)</f>
        <v>100</v>
      </c>
      <c r="W16" s="64">
        <f>ROUND(Scores!W16,$C$1)</f>
        <v>100</v>
      </c>
      <c r="X16" s="64">
        <f>ROUND(Scores!X16,$C$1)</f>
        <v>75</v>
      </c>
      <c r="Y16" s="64">
        <f>ROUND(Scores!Y16,$C$1)</f>
        <v>75</v>
      </c>
      <c r="Z16" s="64">
        <f>ROUND(Scores!Z16,$C$1)</f>
        <v>75</v>
      </c>
      <c r="AA16" s="64">
        <f>ROUND(Scores!AA16,$C$1)</f>
        <v>100</v>
      </c>
      <c r="AB16" s="64">
        <f>ROUND(Scores!AB16,$C$1)</f>
        <v>100</v>
      </c>
      <c r="AC16" s="64">
        <f>ROUND(Scores!AC16,$C$1)</f>
        <v>100</v>
      </c>
      <c r="AD16" s="64">
        <f>ROUND(Scores!AD16,$C$1)</f>
        <v>100</v>
      </c>
      <c r="AE16" s="64">
        <f>ROUND(Scores!AE16,$C$1)</f>
        <v>100</v>
      </c>
      <c r="AF16" s="64">
        <f>ROUND(Scores!AF16,$C$1)</f>
        <v>75</v>
      </c>
      <c r="AG16" s="64">
        <f>ROUND(Scores!AG16,$C$1)</f>
        <v>75</v>
      </c>
      <c r="AH16" s="64">
        <f>ROUND(Scores!AH16,$C$1)</f>
        <v>75</v>
      </c>
      <c r="AI16" s="64">
        <f>ROUND(Scores!AI16,$C$1)</f>
        <v>75</v>
      </c>
      <c r="AJ16" s="64">
        <f>ROUND(Scores!AJ16,$C$1)</f>
        <v>75</v>
      </c>
      <c r="AK16" s="64">
        <f>ROUND(Scores!AK16,$C$1)</f>
        <v>75</v>
      </c>
      <c r="AL16" s="64">
        <f>ROUND(Scores!AL16,$C$1)</f>
        <v>75</v>
      </c>
      <c r="AM16" s="64">
        <f>ROUND(Scores!AM16,$C$1)</f>
        <v>75</v>
      </c>
      <c r="AN16" s="64">
        <f>ROUND(Scores!AN16,$C$1)</f>
        <v>50</v>
      </c>
      <c r="AO16" s="64">
        <f>ROUND(Scores!AO16,$C$1)</f>
        <v>100</v>
      </c>
      <c r="AP16" s="64">
        <f>ROUND(Scores!AP16,$C$1)</f>
        <v>100</v>
      </c>
      <c r="AQ16" s="64">
        <f>ROUND(Scores!AQ16,$C$1)</f>
        <v>100</v>
      </c>
      <c r="AR16" s="64">
        <f>ROUND(Scores!AR16,$C$1)</f>
        <v>100</v>
      </c>
      <c r="AS16" s="64">
        <f>ROUND(Scores!AS16,$C$1)</f>
        <v>100</v>
      </c>
      <c r="AT16" s="64">
        <f>ROUND(Scores!AT16,$C$1)</f>
        <v>75</v>
      </c>
      <c r="AU16" s="64">
        <f>ROUND(Scores!AU16,$C$1)</f>
        <v>75</v>
      </c>
      <c r="AV16" s="64">
        <f>ROUND(Scores!AV16,$C$1)</f>
        <v>75</v>
      </c>
      <c r="AW16" s="64">
        <f>ROUND(Scores!AW16,$C$1)</f>
        <v>75</v>
      </c>
      <c r="AX16" s="64">
        <f>ROUND(Scores!AX16,$C$1)</f>
        <v>75</v>
      </c>
      <c r="AY16" s="64">
        <f>ROUND(Scores!AY16,$C$1)</f>
        <v>100</v>
      </c>
      <c r="AZ16" s="64">
        <f>ROUND(Scores!AZ16,$C$1)</f>
        <v>100</v>
      </c>
      <c r="BA16" s="64">
        <f>ROUND(Scores!BA16,$C$1)</f>
        <v>100</v>
      </c>
      <c r="BB16" s="64">
        <f>ROUND(Scores!BB16,$C$1)</f>
        <v>100</v>
      </c>
      <c r="BC16" s="64">
        <f>ROUND(Scores!BC16,$C$1)</f>
        <v>100</v>
      </c>
      <c r="BD16" s="64">
        <f>ROUND(Scores!BD16,$C$1)</f>
        <v>100</v>
      </c>
      <c r="BE16" s="64">
        <f>ROUND(Scores!BE16,$C$1)</f>
        <v>100</v>
      </c>
      <c r="BF16" s="64">
        <f>ROUND(Scores!BF16,$C$1)</f>
        <v>75</v>
      </c>
      <c r="BG16" s="64">
        <f>ROUND(Scores!BG16,$C$1)</f>
        <v>100</v>
      </c>
      <c r="BH16" s="64">
        <f>ROUND(Scores!BH16,$C$1)</f>
        <v>100</v>
      </c>
      <c r="BI16" s="64">
        <f>ROUND(Scores!BI16,$C$1)</f>
        <v>100</v>
      </c>
      <c r="BJ16" s="64">
        <f>ROUND(Scores!BJ16,$C$1)</f>
        <v>75</v>
      </c>
      <c r="BK16" s="64">
        <f>ROUND(Scores!BK16,$C$1)</f>
        <v>100</v>
      </c>
    </row>
    <row r="17" s="22" customFormat="1" spans="1:63">
      <c r="A17" s="24"/>
      <c r="B17" s="24"/>
      <c r="C17" s="24"/>
      <c r="D17" s="52"/>
      <c r="E17" s="52"/>
      <c r="F17" s="52"/>
      <c r="G17" s="52"/>
      <c r="H17" s="52"/>
      <c r="I17" s="52"/>
      <c r="J17" s="52"/>
      <c r="K17" s="54"/>
      <c r="L17" s="62" t="str">
        <f>tblIndicators!Z10</f>
        <v>1.1.6) Dedicated cyber security teams</v>
      </c>
      <c r="M17" s="63"/>
      <c r="N17" s="64">
        <f>ROUND(Scores!N17,$C$1)</f>
        <v>50</v>
      </c>
      <c r="O17" s="64">
        <f>ROUND(Scores!O17,$C$1)</f>
        <v>50</v>
      </c>
      <c r="P17" s="64">
        <f>ROUND(Scores!P17,$C$1)</f>
        <v>50</v>
      </c>
      <c r="Q17" s="64">
        <f>ROUND(Scores!Q17,$C$1)</f>
        <v>50</v>
      </c>
      <c r="R17" s="64">
        <f>ROUND(Scores!R17,$C$1)</f>
        <v>50</v>
      </c>
      <c r="S17" s="64">
        <f>ROUND(Scores!S17,$C$1)</f>
        <v>100</v>
      </c>
      <c r="T17" s="64">
        <f>ROUND(Scores!T17,$C$1)</f>
        <v>100</v>
      </c>
      <c r="U17" s="64">
        <f>ROUND(Scores!U17,$C$1)</f>
        <v>100</v>
      </c>
      <c r="V17" s="64">
        <f>ROUND(Scores!V17,$C$1)</f>
        <v>50</v>
      </c>
      <c r="W17" s="64">
        <f>ROUND(Scores!W17,$C$1)</f>
        <v>100</v>
      </c>
      <c r="X17" s="64">
        <f>ROUND(Scores!X17,$C$1)</f>
        <v>50</v>
      </c>
      <c r="Y17" s="64">
        <f>ROUND(Scores!Y17,$C$1)</f>
        <v>50</v>
      </c>
      <c r="Z17" s="64">
        <f>ROUND(Scores!Z17,$C$1)</f>
        <v>50</v>
      </c>
      <c r="AA17" s="64">
        <f>ROUND(Scores!AA17,$C$1)</f>
        <v>100</v>
      </c>
      <c r="AB17" s="64">
        <f>ROUND(Scores!AB17,$C$1)</f>
        <v>50</v>
      </c>
      <c r="AC17" s="64">
        <f>ROUND(Scores!AC17,$C$1)</f>
        <v>100</v>
      </c>
      <c r="AD17" s="64">
        <f>ROUND(Scores!AD17,$C$1)</f>
        <v>50</v>
      </c>
      <c r="AE17" s="64">
        <f>ROUND(Scores!AE17,$C$1)</f>
        <v>100</v>
      </c>
      <c r="AF17" s="64">
        <f>ROUND(Scores!AF17,$C$1)</f>
        <v>50</v>
      </c>
      <c r="AG17" s="64">
        <f>ROUND(Scores!AG17,$C$1)</f>
        <v>50</v>
      </c>
      <c r="AH17" s="64">
        <f>ROUND(Scores!AH17,$C$1)</f>
        <v>100</v>
      </c>
      <c r="AI17" s="64">
        <f>ROUND(Scores!AI17,$C$1)</f>
        <v>50</v>
      </c>
      <c r="AJ17" s="64">
        <f>ROUND(Scores!AJ17,$C$1)</f>
        <v>50</v>
      </c>
      <c r="AK17" s="64">
        <f>ROUND(Scores!AK17,$C$1)</f>
        <v>100</v>
      </c>
      <c r="AL17" s="64">
        <f>ROUND(Scores!AL17,$C$1)</f>
        <v>50</v>
      </c>
      <c r="AM17" s="64">
        <f>ROUND(Scores!AM17,$C$1)</f>
        <v>50</v>
      </c>
      <c r="AN17" s="64">
        <f>ROUND(Scores!AN17,$C$1)</f>
        <v>50</v>
      </c>
      <c r="AO17" s="64">
        <f>ROUND(Scores!AO17,$C$1)</f>
        <v>100</v>
      </c>
      <c r="AP17" s="64">
        <f>ROUND(Scores!AP17,$C$1)</f>
        <v>50</v>
      </c>
      <c r="AQ17" s="64">
        <f>ROUND(Scores!AQ17,$C$1)</f>
        <v>100</v>
      </c>
      <c r="AR17" s="64">
        <f>ROUND(Scores!AR17,$C$1)</f>
        <v>50</v>
      </c>
      <c r="AS17" s="64">
        <f>ROUND(Scores!AS17,$C$1)</f>
        <v>50</v>
      </c>
      <c r="AT17" s="64">
        <f>ROUND(Scores!AT17,$C$1)</f>
        <v>50</v>
      </c>
      <c r="AU17" s="64">
        <f>ROUND(Scores!AU17,$C$1)</f>
        <v>50</v>
      </c>
      <c r="AV17" s="64">
        <f>ROUND(Scores!AV17,$C$1)</f>
        <v>50</v>
      </c>
      <c r="AW17" s="64">
        <f>ROUND(Scores!AW17,$C$1)</f>
        <v>50</v>
      </c>
      <c r="AX17" s="64">
        <f>ROUND(Scores!AX17,$C$1)</f>
        <v>50</v>
      </c>
      <c r="AY17" s="64">
        <f>ROUND(Scores!AY17,$C$1)</f>
        <v>100</v>
      </c>
      <c r="AZ17" s="64">
        <f>ROUND(Scores!AZ17,$C$1)</f>
        <v>50</v>
      </c>
      <c r="BA17" s="64">
        <f>ROUND(Scores!BA17,$C$1)</f>
        <v>50</v>
      </c>
      <c r="BB17" s="64">
        <f>ROUND(Scores!BB17,$C$1)</f>
        <v>50</v>
      </c>
      <c r="BC17" s="64">
        <f>ROUND(Scores!BC17,$C$1)</f>
        <v>50</v>
      </c>
      <c r="BD17" s="64">
        <f>ROUND(Scores!BD17,$C$1)</f>
        <v>100</v>
      </c>
      <c r="BE17" s="64">
        <f>ROUND(Scores!BE17,$C$1)</f>
        <v>50</v>
      </c>
      <c r="BF17" s="64">
        <f>ROUND(Scores!BF17,$C$1)</f>
        <v>50</v>
      </c>
      <c r="BG17" s="64">
        <f>ROUND(Scores!BG17,$C$1)</f>
        <v>50</v>
      </c>
      <c r="BH17" s="64">
        <f>ROUND(Scores!BH17,$C$1)</f>
        <v>100</v>
      </c>
      <c r="BI17" s="64">
        <f>ROUND(Scores!BI17,$C$1)</f>
        <v>50</v>
      </c>
      <c r="BJ17" s="64">
        <f>ROUND(Scores!BJ17,$C$1)</f>
        <v>50</v>
      </c>
      <c r="BK17" s="64">
        <f>ROUND(Scores!BK17,$C$1)</f>
        <v>50</v>
      </c>
    </row>
    <row r="18" s="21" customFormat="1" spans="1:63">
      <c r="A18" s="30"/>
      <c r="B18" s="30"/>
      <c r="C18" s="30"/>
      <c r="D18" s="53"/>
      <c r="E18" s="53"/>
      <c r="F18" s="53"/>
      <c r="G18" s="53"/>
      <c r="H18" s="53"/>
      <c r="I18" s="53"/>
      <c r="J18" s="53"/>
      <c r="K18" s="58"/>
      <c r="L18" s="59" t="str">
        <f>tblIndicators!Z11</f>
        <v>1.2) Digital Security (Outputs)</v>
      </c>
      <c r="M18" s="60"/>
      <c r="N18" s="61">
        <f>ROUND(Scores!N18,$C$1)</f>
        <v>80.31</v>
      </c>
      <c r="O18" s="61">
        <f>ROUND(Scores!O18,$C$1)</f>
        <v>60.14</v>
      </c>
      <c r="P18" s="61">
        <f>ROUND(Scores!P18,$C$1)</f>
        <v>80.84</v>
      </c>
      <c r="Q18" s="61">
        <f>ROUND(Scores!Q18,$C$1)</f>
        <v>56.19</v>
      </c>
      <c r="R18" s="61">
        <f>ROUND(Scores!R18,$C$1)</f>
        <v>55.81</v>
      </c>
      <c r="S18" s="61">
        <f>ROUND(Scores!S18,$C$1)</f>
        <v>74.65</v>
      </c>
      <c r="T18" s="61">
        <f>ROUND(Scores!T18,$C$1)</f>
        <v>72.37</v>
      </c>
      <c r="U18" s="61">
        <f>ROUND(Scores!U18,$C$1)</f>
        <v>72.75</v>
      </c>
      <c r="V18" s="61">
        <f>ROUND(Scores!V18,$C$1)</f>
        <v>72.75</v>
      </c>
      <c r="W18" s="61">
        <f>ROUND(Scores!W18,$C$1)</f>
        <v>70.47</v>
      </c>
      <c r="X18" s="61">
        <f>ROUND(Scores!X18,$C$1)</f>
        <v>67.05</v>
      </c>
      <c r="Y18" s="61">
        <f>ROUND(Scores!Y18,$C$1)</f>
        <v>49.85</v>
      </c>
      <c r="Z18" s="61">
        <f>ROUND(Scores!Z18,$C$1)</f>
        <v>80.69</v>
      </c>
      <c r="AA18" s="61">
        <f>ROUND(Scores!AA18,$C$1)</f>
        <v>73.51</v>
      </c>
      <c r="AB18" s="61">
        <f>ROUND(Scores!AB18,$C$1)</f>
        <v>74.65</v>
      </c>
      <c r="AC18" s="61">
        <f>ROUND(Scores!AC18,$C$1)</f>
        <v>69.63</v>
      </c>
      <c r="AD18" s="61">
        <f>ROUND(Scores!AD18,$C$1)</f>
        <v>69.51</v>
      </c>
      <c r="AE18" s="61">
        <f>ROUND(Scores!AE18,$C$1)</f>
        <v>76.24</v>
      </c>
      <c r="AF18" s="61">
        <f>ROUND(Scores!AF18,$C$1)</f>
        <v>56.07</v>
      </c>
      <c r="AG18" s="61">
        <f>ROUND(Scores!AG18,$C$1)</f>
        <v>54.62</v>
      </c>
      <c r="AH18" s="61">
        <f>ROUND(Scores!AH18,$C$1)</f>
        <v>57.82</v>
      </c>
      <c r="AI18" s="61">
        <f>ROUND(Scores!AI18,$C$1)</f>
        <v>52.6</v>
      </c>
      <c r="AJ18" s="61">
        <f>ROUND(Scores!AJ18,$C$1)</f>
        <v>50.85</v>
      </c>
      <c r="AK18" s="61">
        <f>ROUND(Scores!AK18,$C$1)</f>
        <v>49.14</v>
      </c>
      <c r="AL18" s="61">
        <f>ROUND(Scores!AL18,$C$1)</f>
        <v>49.66</v>
      </c>
      <c r="AM18" s="61">
        <f>ROUND(Scores!AM18,$C$1)</f>
        <v>46.63</v>
      </c>
      <c r="AN18" s="61">
        <f>ROUND(Scores!AN18,$C$1)</f>
        <v>57.15</v>
      </c>
      <c r="AO18" s="61">
        <f>ROUND(Scores!AO18,$C$1)</f>
        <v>95.7</v>
      </c>
      <c r="AP18" s="61">
        <f>ROUND(Scores!AP18,$C$1)</f>
        <v>95.33</v>
      </c>
      <c r="AQ18" s="61">
        <f>ROUND(Scores!AQ18,$C$1)</f>
        <v>82.37</v>
      </c>
      <c r="AR18" s="61">
        <f>ROUND(Scores!AR18,$C$1)</f>
        <v>45.59</v>
      </c>
      <c r="AS18" s="61">
        <f>ROUND(Scores!AS18,$C$1)</f>
        <v>81.56</v>
      </c>
      <c r="AT18" s="61">
        <f>ROUND(Scores!AT18,$C$1)</f>
        <v>48.06</v>
      </c>
      <c r="AU18" s="61">
        <f>ROUND(Scores!AU18,$C$1)</f>
        <v>48.95</v>
      </c>
      <c r="AV18" s="61">
        <f>ROUND(Scores!AV18,$C$1)</f>
        <v>74.75</v>
      </c>
      <c r="AW18" s="61">
        <f>ROUND(Scores!AW18,$C$1)</f>
        <v>77.8</v>
      </c>
      <c r="AX18" s="61">
        <f>ROUND(Scores!AX18,$C$1)</f>
        <v>52.85</v>
      </c>
      <c r="AY18" s="61">
        <f>ROUND(Scores!AY18,$C$1)</f>
        <v>80.08</v>
      </c>
      <c r="AZ18" s="61">
        <f>ROUND(Scores!AZ18,$C$1)</f>
        <v>75.86</v>
      </c>
      <c r="BA18" s="61">
        <f>ROUND(Scores!BA18,$C$1)</f>
        <v>68.8</v>
      </c>
      <c r="BB18" s="61">
        <f>ROUND(Scores!BB18,$C$1)</f>
        <v>64.22</v>
      </c>
      <c r="BC18" s="61">
        <f>ROUND(Scores!BC18,$C$1)</f>
        <v>69.33</v>
      </c>
      <c r="BD18" s="61">
        <f>ROUND(Scores!BD18,$C$1)</f>
        <v>71.23</v>
      </c>
      <c r="BE18" s="61">
        <f>ROUND(Scores!BE18,$C$1)</f>
        <v>90.96</v>
      </c>
      <c r="BF18" s="61">
        <f>ROUND(Scores!BF18,$C$1)</f>
        <v>49.42</v>
      </c>
      <c r="BG18" s="61">
        <f>ROUND(Scores!BG18,$C$1)</f>
        <v>60.23</v>
      </c>
      <c r="BH18" s="61">
        <f>ROUND(Scores!BH18,$C$1)</f>
        <v>59.24</v>
      </c>
      <c r="BI18" s="61">
        <f>ROUND(Scores!BI18,$C$1)</f>
        <v>79.41</v>
      </c>
      <c r="BJ18" s="61">
        <f>ROUND(Scores!BJ18,$C$1)</f>
        <v>49.99</v>
      </c>
      <c r="BK18" s="61">
        <f>ROUND(Scores!BK18,$C$1)</f>
        <v>77.51</v>
      </c>
    </row>
    <row r="19" s="22" customFormat="1" spans="1:63">
      <c r="A19" s="24"/>
      <c r="B19" s="24"/>
      <c r="C19" s="24"/>
      <c r="D19" s="52"/>
      <c r="E19" s="52"/>
      <c r="F19" s="52"/>
      <c r="G19" s="52"/>
      <c r="H19" s="52"/>
      <c r="I19" s="52"/>
      <c r="J19" s="52"/>
      <c r="K19" s="54"/>
      <c r="L19" s="62" t="str">
        <f>tblIndicators!Z12</f>
        <v>1.2.1) Frequency of identity theft</v>
      </c>
      <c r="M19" s="63"/>
      <c r="N19" s="64">
        <f>ROUND(Scores!N19,$C$1)</f>
        <v>90.92</v>
      </c>
      <c r="O19" s="64">
        <f>ROUND(Scores!O19,$C$1)</f>
        <v>52</v>
      </c>
      <c r="P19" s="64">
        <f>ROUND(Scores!P19,$C$1)</f>
        <v>98</v>
      </c>
      <c r="Q19" s="64">
        <f>ROUND(Scores!Q19,$C$1)</f>
        <v>72</v>
      </c>
      <c r="R19" s="64">
        <f>ROUND(Scores!R19,$C$1)</f>
        <v>72</v>
      </c>
      <c r="S19" s="64">
        <f>ROUND(Scores!S19,$C$1)</f>
        <v>84</v>
      </c>
      <c r="T19" s="64">
        <f>ROUND(Scores!T19,$C$1)</f>
        <v>84</v>
      </c>
      <c r="U19" s="64">
        <f>ROUND(Scores!U19,$C$1)</f>
        <v>84</v>
      </c>
      <c r="V19" s="64">
        <f>ROUND(Scores!V19,$C$1)</f>
        <v>84</v>
      </c>
      <c r="W19" s="64">
        <f>ROUND(Scores!W19,$C$1)</f>
        <v>84</v>
      </c>
      <c r="X19" s="64">
        <f>ROUND(Scores!X19,$C$1)</f>
        <v>76</v>
      </c>
      <c r="Y19" s="64">
        <f>ROUND(Scores!Y19,$C$1)</f>
        <v>99.56</v>
      </c>
      <c r="Z19" s="64">
        <f>ROUND(Scores!Z19,$C$1)</f>
        <v>98</v>
      </c>
      <c r="AA19" s="64">
        <f>ROUND(Scores!AA19,$C$1)</f>
        <v>84</v>
      </c>
      <c r="AB19" s="64">
        <f>ROUND(Scores!AB19,$C$1)</f>
        <v>84</v>
      </c>
      <c r="AC19" s="64">
        <f>ROUND(Scores!AC19,$C$1)</f>
        <v>80</v>
      </c>
      <c r="AD19" s="64">
        <f>ROUND(Scores!AD19,$C$1)</f>
        <v>80</v>
      </c>
      <c r="AE19" s="64">
        <f>ROUND(Scores!AE19,$C$1)</f>
        <v>98</v>
      </c>
      <c r="AF19" s="64">
        <f>ROUND(Scores!AF19,$C$1)</f>
        <v>44</v>
      </c>
      <c r="AG19" s="64">
        <f>ROUND(Scores!AG19,$C$1)</f>
        <v>44</v>
      </c>
      <c r="AH19" s="64">
        <f>ROUND(Scores!AH19,$C$1)</f>
        <v>44</v>
      </c>
      <c r="AI19" s="64">
        <f>ROUND(Scores!AI19,$C$1)</f>
        <v>44</v>
      </c>
      <c r="AJ19" s="64">
        <f>ROUND(Scores!AJ19,$C$1)</f>
        <v>44</v>
      </c>
      <c r="AK19" s="64">
        <f>ROUND(Scores!AK19,$C$1)</f>
        <v>52</v>
      </c>
      <c r="AL19" s="64">
        <f>ROUND(Scores!AL19,$C$1)</f>
        <v>52</v>
      </c>
      <c r="AM19" s="64">
        <f>ROUND(Scores!AM19,$C$1)</f>
        <v>56</v>
      </c>
      <c r="AN19" s="64">
        <f>ROUND(Scores!AN19,$C$1)</f>
        <v>100</v>
      </c>
      <c r="AO19" s="64">
        <f>ROUND(Scores!AO19,$C$1)</f>
        <v>96</v>
      </c>
      <c r="AP19" s="64">
        <f>ROUND(Scores!AP19,$C$1)</f>
        <v>96</v>
      </c>
      <c r="AQ19" s="64">
        <f>ROUND(Scores!AQ19,$C$1)</f>
        <v>72</v>
      </c>
      <c r="AR19" s="64">
        <f>ROUND(Scores!AR19,$C$1)</f>
        <v>0</v>
      </c>
      <c r="AS19" s="64">
        <f>ROUND(Scores!AS19,$C$1)</f>
        <v>98</v>
      </c>
      <c r="AT19" s="64">
        <f>ROUND(Scores!AT19,$C$1)</f>
        <v>98</v>
      </c>
      <c r="AU19" s="64">
        <f>ROUND(Scores!AU19,$C$1)</f>
        <v>98</v>
      </c>
      <c r="AV19" s="64">
        <f>ROUND(Scores!AV19,$C$1)</f>
        <v>98</v>
      </c>
      <c r="AW19" s="64">
        <f>ROUND(Scores!AW19,$C$1)</f>
        <v>98</v>
      </c>
      <c r="AX19" s="64">
        <f>ROUND(Scores!AX19,$C$1)</f>
        <v>80</v>
      </c>
      <c r="AY19" s="64">
        <f>ROUND(Scores!AY19,$C$1)</f>
        <v>98</v>
      </c>
      <c r="AZ19" s="64">
        <f>ROUND(Scores!AZ19,$C$1)</f>
        <v>92</v>
      </c>
      <c r="BA19" s="64">
        <f>ROUND(Scores!BA19,$C$1)</f>
        <v>96</v>
      </c>
      <c r="BB19" s="64">
        <f>ROUND(Scores!BB19,$C$1)</f>
        <v>80</v>
      </c>
      <c r="BC19" s="64">
        <f>ROUND(Scores!BC19,$C$1)</f>
        <v>100</v>
      </c>
      <c r="BD19" s="64">
        <f>ROUND(Scores!BD19,$C$1)</f>
        <v>100</v>
      </c>
      <c r="BE19" s="64">
        <f>ROUND(Scores!BE19,$C$1)</f>
        <v>98.8</v>
      </c>
      <c r="BF19" s="64">
        <f>ROUND(Scores!BF19,$C$1)</f>
        <v>72</v>
      </c>
      <c r="BG19" s="64">
        <f>ROUND(Scores!BG19,$C$1)</f>
        <v>76</v>
      </c>
      <c r="BH19" s="64">
        <f>ROUND(Scores!BH19,$C$1)</f>
        <v>76</v>
      </c>
      <c r="BI19" s="64">
        <f>ROUND(Scores!BI19,$C$1)</f>
        <v>96</v>
      </c>
      <c r="BJ19" s="64">
        <f>ROUND(Scores!BJ19,$C$1)</f>
        <v>80</v>
      </c>
      <c r="BK19" s="64">
        <f>ROUND(Scores!BK19,$C$1)</f>
        <v>88</v>
      </c>
    </row>
    <row r="20" s="22" customFormat="1" spans="1:63">
      <c r="A20" s="24"/>
      <c r="B20" s="24"/>
      <c r="C20" s="24"/>
      <c r="D20" s="52"/>
      <c r="E20" s="52"/>
      <c r="F20" s="52"/>
      <c r="G20" s="52"/>
      <c r="H20" s="52"/>
      <c r="I20" s="52"/>
      <c r="J20" s="52"/>
      <c r="K20" s="54"/>
      <c r="L20" s="62" t="str">
        <f>tblIndicators!Z13</f>
        <v>1.2.2) Precentage of computers infected</v>
      </c>
      <c r="M20" s="63"/>
      <c r="N20" s="64">
        <f>ROUND(Scores!N20,$C$1)</f>
        <v>50</v>
      </c>
      <c r="O20" s="64">
        <f>ROUND(Scores!O20,$C$1)</f>
        <v>75</v>
      </c>
      <c r="P20" s="64">
        <f>ROUND(Scores!P20,$C$1)</f>
        <v>75</v>
      </c>
      <c r="Q20" s="64">
        <f>ROUND(Scores!Q20,$C$1)</f>
        <v>50</v>
      </c>
      <c r="R20" s="64">
        <f>ROUND(Scores!R20,$C$1)</f>
        <v>50</v>
      </c>
      <c r="S20" s="64">
        <f>ROUND(Scores!S20,$C$1)</f>
        <v>50</v>
      </c>
      <c r="T20" s="64">
        <f>ROUND(Scores!T20,$C$1)</f>
        <v>50</v>
      </c>
      <c r="U20" s="64">
        <f>ROUND(Scores!U20,$C$1)</f>
        <v>50</v>
      </c>
      <c r="V20" s="64">
        <f>ROUND(Scores!V20,$C$1)</f>
        <v>50</v>
      </c>
      <c r="W20" s="64">
        <f>ROUND(Scores!W20,$C$1)</f>
        <v>50</v>
      </c>
      <c r="X20" s="64">
        <f>ROUND(Scores!X20,$C$1)</f>
        <v>75</v>
      </c>
      <c r="Y20" s="64">
        <f>ROUND(Scores!Y20,$C$1)</f>
        <v>50</v>
      </c>
      <c r="Z20" s="64">
        <f>ROUND(Scores!Z20,$C$1)</f>
        <v>75</v>
      </c>
      <c r="AA20" s="64">
        <f>ROUND(Scores!AA20,$C$1)</f>
        <v>50</v>
      </c>
      <c r="AB20" s="64">
        <f>ROUND(Scores!AB20,$C$1)</f>
        <v>50</v>
      </c>
      <c r="AC20" s="64">
        <f>ROUND(Scores!AC20,$C$1)</f>
        <v>50</v>
      </c>
      <c r="AD20" s="64">
        <f>ROUND(Scores!AD20,$C$1)</f>
        <v>50</v>
      </c>
      <c r="AE20" s="64">
        <f>ROUND(Scores!AE20,$C$1)</f>
        <v>50</v>
      </c>
      <c r="AF20" s="64">
        <f>ROUND(Scores!AF20,$C$1)</f>
        <v>50</v>
      </c>
      <c r="AG20" s="64">
        <f>ROUND(Scores!AG20,$C$1)</f>
        <v>50</v>
      </c>
      <c r="AH20" s="64">
        <f>ROUND(Scores!AH20,$C$1)</f>
        <v>50</v>
      </c>
      <c r="AI20" s="64">
        <f>ROUND(Scores!AI20,$C$1)</f>
        <v>50</v>
      </c>
      <c r="AJ20" s="64">
        <f>ROUND(Scores!AJ20,$C$1)</f>
        <v>50</v>
      </c>
      <c r="AK20" s="64">
        <f>ROUND(Scores!AK20,$C$1)</f>
        <v>50</v>
      </c>
      <c r="AL20" s="64">
        <f>ROUND(Scores!AL20,$C$1)</f>
        <v>50</v>
      </c>
      <c r="AM20" s="64">
        <f>ROUND(Scores!AM20,$C$1)</f>
        <v>50</v>
      </c>
      <c r="AN20" s="64">
        <f>ROUND(Scores!AN20,$C$1)</f>
        <v>50</v>
      </c>
      <c r="AO20" s="64">
        <f>ROUND(Scores!AO20,$C$1)</f>
        <v>100</v>
      </c>
      <c r="AP20" s="64">
        <f>ROUND(Scores!AP20,$C$1)</f>
        <v>100</v>
      </c>
      <c r="AQ20" s="64">
        <f>ROUND(Scores!AQ20,$C$1)</f>
        <v>100</v>
      </c>
      <c r="AR20" s="64">
        <f>ROUND(Scores!AR20,$C$1)</f>
        <v>50</v>
      </c>
      <c r="AS20" s="64">
        <f>ROUND(Scores!AS20,$C$1)</f>
        <v>75</v>
      </c>
      <c r="AT20" s="64">
        <f>ROUND(Scores!AT20,$C$1)</f>
        <v>25</v>
      </c>
      <c r="AU20" s="64">
        <f>ROUND(Scores!AU20,$C$1)</f>
        <v>0</v>
      </c>
      <c r="AV20" s="64">
        <f>ROUND(Scores!AV20,$C$1)</f>
        <v>50</v>
      </c>
      <c r="AW20" s="64">
        <f>ROUND(Scores!AW20,$C$1)</f>
        <v>50</v>
      </c>
      <c r="AX20" s="64">
        <f>ROUND(Scores!AX20,$C$1)</f>
        <v>25</v>
      </c>
      <c r="AY20" s="64">
        <f>ROUND(Scores!AY20,$C$1)</f>
        <v>50</v>
      </c>
      <c r="AZ20" s="64">
        <f>ROUND(Scores!AZ20,$C$1)</f>
        <v>50</v>
      </c>
      <c r="BA20" s="64">
        <f>ROUND(Scores!BA20,$C$1)</f>
        <v>25</v>
      </c>
      <c r="BB20" s="64">
        <f>ROUND(Scores!BB20,$C$1)</f>
        <v>25</v>
      </c>
      <c r="BC20" s="64">
        <f>ROUND(Scores!BC20,$C$1)</f>
        <v>50</v>
      </c>
      <c r="BD20" s="64">
        <f>ROUND(Scores!BD20,$C$1)</f>
        <v>50</v>
      </c>
      <c r="BE20" s="64">
        <f>ROUND(Scores!BE20,$C$1)</f>
        <v>75</v>
      </c>
      <c r="BF20" s="64">
        <f>ROUND(Scores!BF20,$C$1)</f>
        <v>0</v>
      </c>
      <c r="BG20" s="64">
        <f>ROUND(Scores!BG20,$C$1)</f>
        <v>25</v>
      </c>
      <c r="BH20" s="64">
        <f>ROUND(Scores!BH20,$C$1)</f>
        <v>25</v>
      </c>
      <c r="BI20" s="64">
        <f>ROUND(Scores!BI20,$C$1)</f>
        <v>50</v>
      </c>
      <c r="BJ20" s="64">
        <f>ROUND(Scores!BJ20,$C$1)</f>
        <v>25</v>
      </c>
      <c r="BK20" s="64">
        <f>ROUND(Scores!BK20,$C$1)</f>
        <v>50</v>
      </c>
    </row>
    <row r="21" s="22" customFormat="1" spans="1:63">
      <c r="A21" s="24"/>
      <c r="B21" s="24"/>
      <c r="C21" s="24"/>
      <c r="D21" s="52"/>
      <c r="E21" s="52"/>
      <c r="F21" s="52"/>
      <c r="G21" s="52"/>
      <c r="H21" s="52"/>
      <c r="I21" s="52"/>
      <c r="J21" s="52"/>
      <c r="K21" s="54"/>
      <c r="L21" s="62" t="str">
        <f>tblIndicators!Z14</f>
        <v>1.2.3) Percent with internet access</v>
      </c>
      <c r="M21" s="63"/>
      <c r="N21" s="64">
        <f>ROUND(Scores!N21,$C$1)</f>
        <v>100</v>
      </c>
      <c r="O21" s="64">
        <f>ROUND(Scores!O21,$C$1)</f>
        <v>53.42</v>
      </c>
      <c r="P21" s="64">
        <f>ROUND(Scores!P21,$C$1)</f>
        <v>69.51</v>
      </c>
      <c r="Q21" s="64">
        <f>ROUND(Scores!Q21,$C$1)</f>
        <v>46.58</v>
      </c>
      <c r="R21" s="64">
        <f>ROUND(Scores!R21,$C$1)</f>
        <v>45.43</v>
      </c>
      <c r="S21" s="64">
        <f>ROUND(Scores!S21,$C$1)</f>
        <v>89.95</v>
      </c>
      <c r="T21" s="64">
        <f>ROUND(Scores!T21,$C$1)</f>
        <v>83.11</v>
      </c>
      <c r="U21" s="64">
        <f>ROUND(Scores!U21,$C$1)</f>
        <v>84.25</v>
      </c>
      <c r="V21" s="64">
        <f>ROUND(Scores!V21,$C$1)</f>
        <v>84.25</v>
      </c>
      <c r="W21" s="64">
        <f>ROUND(Scores!W21,$C$1)</f>
        <v>77.4</v>
      </c>
      <c r="X21" s="64">
        <f>ROUND(Scores!X21,$C$1)</f>
        <v>50.15</v>
      </c>
      <c r="Y21" s="64">
        <f>ROUND(Scores!Y21,$C$1)</f>
        <v>0</v>
      </c>
      <c r="Z21" s="64">
        <f>ROUND(Scores!Z21,$C$1)</f>
        <v>69.06</v>
      </c>
      <c r="AA21" s="64">
        <f>ROUND(Scores!AA21,$C$1)</f>
        <v>86.53</v>
      </c>
      <c r="AB21" s="64">
        <f>ROUND(Scores!AB21,$C$1)</f>
        <v>89.95</v>
      </c>
      <c r="AC21" s="64">
        <f>ROUND(Scores!AC21,$C$1)</f>
        <v>78.88</v>
      </c>
      <c r="AD21" s="64">
        <f>ROUND(Scores!AD21,$C$1)</f>
        <v>78.54</v>
      </c>
      <c r="AE21" s="64">
        <f>ROUND(Scores!AE21,$C$1)</f>
        <v>80.71</v>
      </c>
      <c r="AF21" s="64">
        <f>ROUND(Scores!AF21,$C$1)</f>
        <v>74.2</v>
      </c>
      <c r="AG21" s="64">
        <f>ROUND(Scores!AG21,$C$1)</f>
        <v>69.86</v>
      </c>
      <c r="AH21" s="64">
        <f>ROUND(Scores!AH21,$C$1)</f>
        <v>79.45</v>
      </c>
      <c r="AI21" s="64">
        <f>ROUND(Scores!AI21,$C$1)</f>
        <v>63.81</v>
      </c>
      <c r="AJ21" s="64">
        <f>ROUND(Scores!AJ21,$C$1)</f>
        <v>58.56</v>
      </c>
      <c r="AK21" s="64">
        <f>ROUND(Scores!AK21,$C$1)</f>
        <v>45.43</v>
      </c>
      <c r="AL21" s="64">
        <f>ROUND(Scores!AL21,$C$1)</f>
        <v>46.97</v>
      </c>
      <c r="AM21" s="64">
        <f>ROUND(Scores!AM21,$C$1)</f>
        <v>33.9</v>
      </c>
      <c r="AN21" s="64">
        <f>ROUND(Scores!AN21,$C$1)</f>
        <v>21.46</v>
      </c>
      <c r="AO21" s="64">
        <f>ROUND(Scores!AO21,$C$1)</f>
        <v>91.1</v>
      </c>
      <c r="AP21" s="64">
        <f>ROUND(Scores!AP21,$C$1)</f>
        <v>89.99</v>
      </c>
      <c r="AQ21" s="64">
        <f>ROUND(Scores!AQ21,$C$1)</f>
        <v>75.11</v>
      </c>
      <c r="AR21" s="64">
        <f>ROUND(Scores!AR21,$C$1)</f>
        <v>86.76</v>
      </c>
      <c r="AS21" s="64">
        <f>ROUND(Scores!AS21,$C$1)</f>
        <v>71.69</v>
      </c>
      <c r="AT21" s="64">
        <f>ROUND(Scores!AT21,$C$1)</f>
        <v>21.19</v>
      </c>
      <c r="AU21" s="64">
        <f>ROUND(Scores!AU21,$C$1)</f>
        <v>48.86</v>
      </c>
      <c r="AV21" s="64">
        <f>ROUND(Scores!AV21,$C$1)</f>
        <v>76.26</v>
      </c>
      <c r="AW21" s="64">
        <f>ROUND(Scores!AW21,$C$1)</f>
        <v>85.39</v>
      </c>
      <c r="AX21" s="64">
        <f>ROUND(Scores!AX21,$C$1)</f>
        <v>53.54</v>
      </c>
      <c r="AY21" s="64">
        <f>ROUND(Scores!AY21,$C$1)</f>
        <v>92.24</v>
      </c>
      <c r="AZ21" s="64">
        <f>ROUND(Scores!AZ21,$C$1)</f>
        <v>85.58</v>
      </c>
      <c r="BA21" s="64">
        <f>ROUND(Scores!BA21,$C$1)</f>
        <v>85.39</v>
      </c>
      <c r="BB21" s="64">
        <f>ROUND(Scores!BB21,$C$1)</f>
        <v>87.67</v>
      </c>
      <c r="BC21" s="64">
        <f>ROUND(Scores!BC21,$C$1)</f>
        <v>57.99</v>
      </c>
      <c r="BD21" s="64">
        <f>ROUND(Scores!BD21,$C$1)</f>
        <v>63.7</v>
      </c>
      <c r="BE21" s="64">
        <f>ROUND(Scores!BE21,$C$1)</f>
        <v>99.09</v>
      </c>
      <c r="BF21" s="64">
        <f>ROUND(Scores!BF21,$C$1)</f>
        <v>76.26</v>
      </c>
      <c r="BG21" s="64">
        <f>ROUND(Scores!BG21,$C$1)</f>
        <v>79.68</v>
      </c>
      <c r="BH21" s="64">
        <f>ROUND(Scores!BH21,$C$1)</f>
        <v>76.71</v>
      </c>
      <c r="BI21" s="64">
        <f>ROUND(Scores!BI21,$C$1)</f>
        <v>92.24</v>
      </c>
      <c r="BJ21" s="64">
        <f>ROUND(Scores!BJ21,$C$1)</f>
        <v>44.98</v>
      </c>
      <c r="BK21" s="64">
        <f>ROUND(Scores!BK21,$C$1)</f>
        <v>94.52</v>
      </c>
    </row>
    <row r="22" spans="1:63">
      <c r="A22" s="24"/>
      <c r="B22" s="24"/>
      <c r="C22" s="24"/>
      <c r="D22" s="52"/>
      <c r="E22" s="52"/>
      <c r="F22" s="52"/>
      <c r="G22" s="52"/>
      <c r="H22" s="52"/>
      <c r="I22" s="52"/>
      <c r="J22" s="52"/>
      <c r="K22" s="54"/>
      <c r="L22" s="55" t="str">
        <f>tblIndicators!Z15</f>
        <v>2) HEALTH SECURITY</v>
      </c>
      <c r="M22" s="56"/>
      <c r="N22" s="57">
        <f>ROUND(Scores!N22,$C$1)</f>
        <v>75.83</v>
      </c>
      <c r="O22" s="57">
        <f>ROUND(Scores!O22,$C$1)</f>
        <v>50.17</v>
      </c>
      <c r="P22" s="57">
        <f>ROUND(Scores!P22,$C$1)</f>
        <v>64.64</v>
      </c>
      <c r="Q22" s="57">
        <f>ROUND(Scores!Q22,$C$1)</f>
        <v>60.37</v>
      </c>
      <c r="R22" s="57">
        <f>ROUND(Scores!R22,$C$1)</f>
        <v>57.48</v>
      </c>
      <c r="S22" s="57">
        <f>ROUND(Scores!S22,$C$1)</f>
        <v>66.57</v>
      </c>
      <c r="T22" s="57">
        <f>ROUND(Scores!T22,$C$1)</f>
        <v>73.53</v>
      </c>
      <c r="U22" s="57">
        <f>ROUND(Scores!U22,$C$1)</f>
        <v>70.8</v>
      </c>
      <c r="V22" s="57">
        <f>ROUND(Scores!V22,$C$1)</f>
        <v>72.4</v>
      </c>
      <c r="W22" s="57">
        <f>ROUND(Scores!W22,$C$1)</f>
        <v>69.71</v>
      </c>
      <c r="X22" s="57">
        <f>ROUND(Scores!X22,$C$1)</f>
        <v>61.16</v>
      </c>
      <c r="Y22" s="57">
        <f>ROUND(Scores!Y22,$C$1)</f>
        <v>54.44</v>
      </c>
      <c r="Z22" s="57">
        <f>ROUND(Scores!Z22,$C$1)</f>
        <v>65.02</v>
      </c>
      <c r="AA22" s="57">
        <f>ROUND(Scores!AA22,$C$1)</f>
        <v>78.52</v>
      </c>
      <c r="AB22" s="57">
        <f>ROUND(Scores!AB22,$C$1)</f>
        <v>72.53</v>
      </c>
      <c r="AC22" s="57">
        <f>ROUND(Scores!AC22,$C$1)</f>
        <v>73.35</v>
      </c>
      <c r="AD22" s="57">
        <f>ROUND(Scores!AD22,$C$1)</f>
        <v>74.27</v>
      </c>
      <c r="AE22" s="57">
        <f>ROUND(Scores!AE22,$C$1)</f>
        <v>73.61</v>
      </c>
      <c r="AF22" s="57">
        <f>ROUND(Scores!AF22,$C$1)</f>
        <v>64.1</v>
      </c>
      <c r="AG22" s="57">
        <f>ROUND(Scores!AG22,$C$1)</f>
        <v>63.31</v>
      </c>
      <c r="AH22" s="57">
        <f>ROUND(Scores!AH22,$C$1)</f>
        <v>61.85</v>
      </c>
      <c r="AI22" s="57">
        <f>ROUND(Scores!AI22,$C$1)</f>
        <v>60.07</v>
      </c>
      <c r="AJ22" s="57">
        <f>ROUND(Scores!AJ22,$C$1)</f>
        <v>60.93</v>
      </c>
      <c r="AK22" s="57">
        <f>ROUND(Scores!AK22,$C$1)</f>
        <v>45.31</v>
      </c>
      <c r="AL22" s="57">
        <f>ROUND(Scores!AL22,$C$1)</f>
        <v>53.76</v>
      </c>
      <c r="AM22" s="57">
        <f>ROUND(Scores!AM22,$C$1)</f>
        <v>53.11</v>
      </c>
      <c r="AN22" s="57">
        <f>ROUND(Scores!AN22,$C$1)</f>
        <v>48.22</v>
      </c>
      <c r="AO22" s="57">
        <f>ROUND(Scores!AO22,$C$1)</f>
        <v>76.26</v>
      </c>
      <c r="AP22" s="57">
        <f>ROUND(Scores!AP22,$C$1)</f>
        <v>76.55</v>
      </c>
      <c r="AQ22" s="57">
        <f>ROUND(Scores!AQ22,$C$1)</f>
        <v>75.31</v>
      </c>
      <c r="AR22" s="57">
        <f>ROUND(Scores!AR22,$C$1)</f>
        <v>72.86</v>
      </c>
      <c r="AS22" s="57">
        <f>ROUND(Scores!AS22,$C$1)</f>
        <v>76</v>
      </c>
      <c r="AT22" s="57">
        <f>ROUND(Scores!AT22,$C$1)</f>
        <v>60.5</v>
      </c>
      <c r="AU22" s="57">
        <f>ROUND(Scores!AU22,$C$1)</f>
        <v>48.39</v>
      </c>
      <c r="AV22" s="57">
        <f>ROUND(Scores!AV22,$C$1)</f>
        <v>56.81</v>
      </c>
      <c r="AW22" s="57">
        <f>ROUND(Scores!AW22,$C$1)</f>
        <v>54.16</v>
      </c>
      <c r="AX22" s="57">
        <f>ROUND(Scores!AX22,$C$1)</f>
        <v>53.33</v>
      </c>
      <c r="AY22" s="57">
        <f>ROUND(Scores!AY22,$C$1)</f>
        <v>52.06</v>
      </c>
      <c r="AZ22" s="57">
        <f>ROUND(Scores!AZ22,$C$1)</f>
        <v>77.63</v>
      </c>
      <c r="BA22" s="57">
        <f>ROUND(Scores!BA22,$C$1)</f>
        <v>76.95</v>
      </c>
      <c r="BB22" s="57">
        <f>ROUND(Scores!BB22,$C$1)</f>
        <v>77.38</v>
      </c>
      <c r="BC22" s="57">
        <f>ROUND(Scores!BC22,$C$1)</f>
        <v>67.13</v>
      </c>
      <c r="BD22" s="57">
        <f>ROUND(Scores!BD22,$C$1)</f>
        <v>66.16</v>
      </c>
      <c r="BE22" s="57">
        <f>ROUND(Scores!BE22,$C$1)</f>
        <v>74.28</v>
      </c>
      <c r="BF22" s="57">
        <f>ROUND(Scores!BF22,$C$1)</f>
        <v>68.93</v>
      </c>
      <c r="BG22" s="57">
        <f>ROUND(Scores!BG22,$C$1)</f>
        <v>75.53</v>
      </c>
      <c r="BH22" s="57">
        <f>ROUND(Scores!BH22,$C$1)</f>
        <v>76.35</v>
      </c>
      <c r="BI22" s="57">
        <f>ROUND(Scores!BI22,$C$1)</f>
        <v>79.05</v>
      </c>
      <c r="BJ22" s="57">
        <f>ROUND(Scores!BJ22,$C$1)</f>
        <v>50.77</v>
      </c>
      <c r="BK22" s="57">
        <f>ROUND(Scores!BK22,$C$1)</f>
        <v>69.78</v>
      </c>
    </row>
    <row r="23" s="21" customFormat="1" spans="1:63">
      <c r="A23" s="30"/>
      <c r="B23" s="30"/>
      <c r="C23" s="30"/>
      <c r="D23" s="53"/>
      <c r="E23" s="53"/>
      <c r="F23" s="53"/>
      <c r="G23" s="53"/>
      <c r="H23" s="53"/>
      <c r="I23" s="53"/>
      <c r="J23" s="53"/>
      <c r="K23" s="58"/>
      <c r="L23" s="59" t="str">
        <f>tblIndicators!Z16</f>
        <v>2.1) Health Security (Inputs)</v>
      </c>
      <c r="M23" s="60"/>
      <c r="N23" s="61">
        <f>ROUND(Scores!N23,$C$1)</f>
        <v>70.73</v>
      </c>
      <c r="O23" s="61">
        <f>ROUND(Scores!O23,$C$1)</f>
        <v>43.99</v>
      </c>
      <c r="P23" s="61">
        <f>ROUND(Scores!P23,$C$1)</f>
        <v>60.41</v>
      </c>
      <c r="Q23" s="61">
        <f>ROUND(Scores!Q23,$C$1)</f>
        <v>52.16</v>
      </c>
      <c r="R23" s="61">
        <f>ROUND(Scores!R23,$C$1)</f>
        <v>56.24</v>
      </c>
      <c r="S23" s="61">
        <f>ROUND(Scores!S23,$C$1)</f>
        <v>64.41</v>
      </c>
      <c r="T23" s="61">
        <f>ROUND(Scores!T23,$C$1)</f>
        <v>65.22</v>
      </c>
      <c r="U23" s="61">
        <f>ROUND(Scores!U23,$C$1)</f>
        <v>60.32</v>
      </c>
      <c r="V23" s="61">
        <f>ROUND(Scores!V23,$C$1)</f>
        <v>70.91</v>
      </c>
      <c r="W23" s="61">
        <f>ROUND(Scores!W23,$C$1)</f>
        <v>63.93</v>
      </c>
      <c r="X23" s="61">
        <f>ROUND(Scores!X23,$C$1)</f>
        <v>53.21</v>
      </c>
      <c r="Y23" s="61">
        <f>ROUND(Scores!Y23,$C$1)</f>
        <v>42.91</v>
      </c>
      <c r="Z23" s="61">
        <f>ROUND(Scores!Z23,$C$1)</f>
        <v>50.08</v>
      </c>
      <c r="AA23" s="61">
        <f>ROUND(Scores!AA23,$C$1)</f>
        <v>67.77</v>
      </c>
      <c r="AB23" s="61">
        <f>ROUND(Scores!AB23,$C$1)</f>
        <v>73.7</v>
      </c>
      <c r="AC23" s="61">
        <f>ROUND(Scores!AC23,$C$1)</f>
        <v>64.35</v>
      </c>
      <c r="AD23" s="61">
        <f>ROUND(Scores!AD23,$C$1)</f>
        <v>66.47</v>
      </c>
      <c r="AE23" s="61">
        <f>ROUND(Scores!AE23,$C$1)</f>
        <v>65.51</v>
      </c>
      <c r="AF23" s="61">
        <f>ROUND(Scores!AF23,$C$1)</f>
        <v>55.38</v>
      </c>
      <c r="AG23" s="61">
        <f>ROUND(Scores!AG23,$C$1)</f>
        <v>54.51</v>
      </c>
      <c r="AH23" s="61">
        <f>ROUND(Scores!AH23,$C$1)</f>
        <v>55.81</v>
      </c>
      <c r="AI23" s="61">
        <f>ROUND(Scores!AI23,$C$1)</f>
        <v>55.58</v>
      </c>
      <c r="AJ23" s="61">
        <f>ROUND(Scores!AJ23,$C$1)</f>
        <v>53.29</v>
      </c>
      <c r="AK23" s="61">
        <f>ROUND(Scores!AK23,$C$1)</f>
        <v>38.81</v>
      </c>
      <c r="AL23" s="61">
        <f>ROUND(Scores!AL23,$C$1)</f>
        <v>51.94</v>
      </c>
      <c r="AM23" s="61">
        <f>ROUND(Scores!AM23,$C$1)</f>
        <v>41.41</v>
      </c>
      <c r="AN23" s="61">
        <f>ROUND(Scores!AN23,$C$1)</f>
        <v>44.32</v>
      </c>
      <c r="AO23" s="61">
        <f>ROUND(Scores!AO23,$C$1)</f>
        <v>74.36</v>
      </c>
      <c r="AP23" s="61">
        <f>ROUND(Scores!AP23,$C$1)</f>
        <v>77.57</v>
      </c>
      <c r="AQ23" s="61">
        <f>ROUND(Scores!AQ23,$C$1)</f>
        <v>66.65</v>
      </c>
      <c r="AR23" s="61">
        <f>ROUND(Scores!AR23,$C$1)</f>
        <v>65.45</v>
      </c>
      <c r="AS23" s="61">
        <f>ROUND(Scores!AS23,$C$1)</f>
        <v>81.07</v>
      </c>
      <c r="AT23" s="61">
        <f>ROUND(Scores!AT23,$C$1)</f>
        <v>54.76</v>
      </c>
      <c r="AU23" s="61">
        <f>ROUND(Scores!AU23,$C$1)</f>
        <v>36.63</v>
      </c>
      <c r="AV23" s="61">
        <f>ROUND(Scores!AV23,$C$1)</f>
        <v>46.24</v>
      </c>
      <c r="AW23" s="61">
        <f>ROUND(Scores!AW23,$C$1)</f>
        <v>52.13</v>
      </c>
      <c r="AX23" s="61">
        <f>ROUND(Scores!AX23,$C$1)</f>
        <v>41.24</v>
      </c>
      <c r="AY23" s="61">
        <f>ROUND(Scores!AY23,$C$1)</f>
        <v>54.38</v>
      </c>
      <c r="AZ23" s="61">
        <f>ROUND(Scores!AZ23,$C$1)</f>
        <v>77.13</v>
      </c>
      <c r="BA23" s="61">
        <f>ROUND(Scores!BA23,$C$1)</f>
        <v>73.46</v>
      </c>
      <c r="BB23" s="61">
        <f>ROUND(Scores!BB23,$C$1)</f>
        <v>70.46</v>
      </c>
      <c r="BC23" s="61">
        <f>ROUND(Scores!BC23,$C$1)</f>
        <v>56.8</v>
      </c>
      <c r="BD23" s="61">
        <f>ROUND(Scores!BD23,$C$1)</f>
        <v>55.13</v>
      </c>
      <c r="BE23" s="61">
        <f>ROUND(Scores!BE23,$C$1)</f>
        <v>70.51</v>
      </c>
      <c r="BF23" s="61">
        <f>ROUND(Scores!BF23,$C$1)</f>
        <v>66.03</v>
      </c>
      <c r="BG23" s="61">
        <f>ROUND(Scores!BG23,$C$1)</f>
        <v>64.88</v>
      </c>
      <c r="BH23" s="61">
        <f>ROUND(Scores!BH23,$C$1)</f>
        <v>67.49</v>
      </c>
      <c r="BI23" s="61">
        <f>ROUND(Scores!BI23,$C$1)</f>
        <v>71.27</v>
      </c>
      <c r="BJ23" s="61">
        <f>ROUND(Scores!BJ23,$C$1)</f>
        <v>35.72</v>
      </c>
      <c r="BK23" s="61">
        <f>ROUND(Scores!BK23,$C$1)</f>
        <v>59.12</v>
      </c>
    </row>
    <row r="24" s="22" customFormat="1" spans="1:63">
      <c r="A24" s="24"/>
      <c r="B24" s="24"/>
      <c r="C24" s="24"/>
      <c r="D24" s="52"/>
      <c r="E24" s="52"/>
      <c r="F24" s="52"/>
      <c r="G24" s="52"/>
      <c r="H24" s="52"/>
      <c r="I24" s="52"/>
      <c r="J24" s="52"/>
      <c r="K24" s="54"/>
      <c r="L24" s="62" t="str">
        <f>tblIndicators!Z17</f>
        <v>2.1.1) Environmental policies</v>
      </c>
      <c r="M24" s="63"/>
      <c r="N24" s="64">
        <f>ROUND(Scores!N24,$C$1)</f>
        <v>100</v>
      </c>
      <c r="O24" s="64">
        <f>ROUND(Scores!O24,$C$1)</f>
        <v>60.77</v>
      </c>
      <c r="P24" s="64">
        <f>ROUND(Scores!P24,$C$1)</f>
        <v>67.56</v>
      </c>
      <c r="Q24" s="64">
        <f>ROUND(Scores!Q24,$C$1)</f>
        <v>57.31</v>
      </c>
      <c r="R24" s="64">
        <f>ROUND(Scores!R24,$C$1)</f>
        <v>91.15</v>
      </c>
      <c r="S24" s="64">
        <f>ROUND(Scores!S24,$C$1)</f>
        <v>92.82</v>
      </c>
      <c r="T24" s="64">
        <f>ROUND(Scores!T24,$C$1)</f>
        <v>91.41</v>
      </c>
      <c r="U24" s="64">
        <f>ROUND(Scores!U24,$C$1)</f>
        <v>48.72</v>
      </c>
      <c r="V24" s="64">
        <f>ROUND(Scores!V24,$C$1)</f>
        <v>67.18</v>
      </c>
      <c r="W24" s="64">
        <f>ROUND(Scores!W24,$C$1)</f>
        <v>84.36</v>
      </c>
      <c r="X24" s="64">
        <f>ROUND(Scores!X24,$C$1)</f>
        <v>92.18</v>
      </c>
      <c r="Y24" s="64">
        <f>ROUND(Scores!Y24,$C$1)</f>
        <v>50.64</v>
      </c>
      <c r="Z24" s="64">
        <f>ROUND(Scores!Z24,$C$1)</f>
        <v>60.77</v>
      </c>
      <c r="AA24" s="64">
        <f>ROUND(Scores!AA24,$C$1)</f>
        <v>100</v>
      </c>
      <c r="AB24" s="64">
        <f>ROUND(Scores!AB24,$C$1)</f>
        <v>100</v>
      </c>
      <c r="AC24" s="64">
        <f>ROUND(Scores!AC24,$C$1)</f>
        <v>57.69</v>
      </c>
      <c r="AD24" s="64">
        <f>ROUND(Scores!AD24,$C$1)</f>
        <v>71.79</v>
      </c>
      <c r="AE24" s="64">
        <f>ROUND(Scores!AE24,$C$1)</f>
        <v>97.82</v>
      </c>
      <c r="AF24" s="64">
        <f>ROUND(Scores!AF24,$C$1)</f>
        <v>73.59</v>
      </c>
      <c r="AG24" s="64">
        <f>ROUND(Scores!AG24,$C$1)</f>
        <v>80.77</v>
      </c>
      <c r="AH24" s="64">
        <f>ROUND(Scores!AH24,$C$1)</f>
        <v>97.82</v>
      </c>
      <c r="AI24" s="64">
        <f>ROUND(Scores!AI24,$C$1)</f>
        <v>83.08</v>
      </c>
      <c r="AJ24" s="64">
        <f>ROUND(Scores!AJ24,$C$1)</f>
        <v>73.59</v>
      </c>
      <c r="AK24" s="64">
        <f>ROUND(Scores!AK24,$C$1)</f>
        <v>51.28</v>
      </c>
      <c r="AL24" s="64">
        <f>ROUND(Scores!AL24,$C$1)</f>
        <v>84.87</v>
      </c>
      <c r="AM24" s="64">
        <f>ROUND(Scores!AM24,$C$1)</f>
        <v>86.67</v>
      </c>
      <c r="AN24" s="64">
        <f>ROUND(Scores!AN24,$C$1)</f>
        <v>62.82</v>
      </c>
      <c r="AO24" s="64">
        <f>ROUND(Scores!AO24,$C$1)</f>
        <v>95.51</v>
      </c>
      <c r="AP24" s="64">
        <f>ROUND(Scores!AP24,$C$1)</f>
        <v>95.51</v>
      </c>
      <c r="AQ24" s="64">
        <f>ROUND(Scores!AQ24,$C$1)</f>
        <v>96.79</v>
      </c>
      <c r="AR24" s="64">
        <f>ROUND(Scores!AR24,$C$1)</f>
        <v>91.15</v>
      </c>
      <c r="AS24" s="64">
        <f>ROUND(Scores!AS24,$C$1)</f>
        <v>91.15</v>
      </c>
      <c r="AT24" s="64">
        <f>ROUND(Scores!AT24,$C$1)</f>
        <v>91.15</v>
      </c>
      <c r="AU24" s="64">
        <f>ROUND(Scores!AU24,$C$1)</f>
        <v>28.08</v>
      </c>
      <c r="AV24" s="64">
        <f>ROUND(Scores!AV24,$C$1)</f>
        <v>0</v>
      </c>
      <c r="AW24" s="64">
        <f>ROUND(Scores!AW24,$C$1)</f>
        <v>17.95</v>
      </c>
      <c r="AX24" s="64">
        <f>ROUND(Scores!AX24,$C$1)</f>
        <v>0</v>
      </c>
      <c r="AY24" s="64">
        <f>ROUND(Scores!AY24,$C$1)</f>
        <v>53.85</v>
      </c>
      <c r="AZ24" s="64">
        <f>ROUND(Scores!AZ24,$C$1)</f>
        <v>100</v>
      </c>
      <c r="BA24" s="64">
        <f>ROUND(Scores!BA24,$C$1)</f>
        <v>92.82</v>
      </c>
      <c r="BB24" s="64">
        <f>ROUND(Scores!BB24,$C$1)</f>
        <v>68.72</v>
      </c>
      <c r="BC24" s="64">
        <f>ROUND(Scores!BC24,$C$1)</f>
        <v>38.72</v>
      </c>
      <c r="BD24" s="64">
        <f>ROUND(Scores!BD24,$C$1)</f>
        <v>38.72</v>
      </c>
      <c r="BE24" s="64">
        <f>ROUND(Scores!BE24,$C$1)</f>
        <v>88.59</v>
      </c>
      <c r="BF24" s="64">
        <f>ROUND(Scores!BF24,$C$1)</f>
        <v>85.9</v>
      </c>
      <c r="BG24" s="64">
        <f>ROUND(Scores!BG24,$C$1)</f>
        <v>74.36</v>
      </c>
      <c r="BH24" s="64">
        <f>ROUND(Scores!BH24,$C$1)</f>
        <v>74.36</v>
      </c>
      <c r="BI24" s="64">
        <f>ROUND(Scores!BI24,$C$1)</f>
        <v>84.36</v>
      </c>
      <c r="BJ24" s="64">
        <f>ROUND(Scores!BJ24,$C$1)</f>
        <v>11.67</v>
      </c>
      <c r="BK24" s="64">
        <f>ROUND(Scores!BK24,$C$1)</f>
        <v>70.13</v>
      </c>
    </row>
    <row r="25" s="22" customFormat="1" spans="1:63">
      <c r="A25" s="24"/>
      <c r="B25" s="24"/>
      <c r="C25" s="24"/>
      <c r="D25" s="52"/>
      <c r="E25" s="52"/>
      <c r="F25" s="52"/>
      <c r="G25" s="52"/>
      <c r="H25" s="52"/>
      <c r="I25" s="52"/>
      <c r="J25" s="52"/>
      <c r="K25" s="54"/>
      <c r="L25" s="62" t="str">
        <f>tblIndicators!Z18</f>
        <v>2.1.2) Access to healthcare</v>
      </c>
      <c r="M25" s="63"/>
      <c r="N25" s="64">
        <f>ROUND(Scores!N25,$C$1)</f>
        <v>0</v>
      </c>
      <c r="O25" s="64">
        <f>ROUND(Scores!O25,$C$1)</f>
        <v>57.88</v>
      </c>
      <c r="P25" s="64">
        <f>ROUND(Scores!P25,$C$1)</f>
        <v>87.37</v>
      </c>
      <c r="Q25" s="64">
        <f>ROUND(Scores!Q25,$C$1)</f>
        <v>70.51</v>
      </c>
      <c r="R25" s="64">
        <f>ROUND(Scores!R25,$C$1)</f>
        <v>66.36</v>
      </c>
      <c r="S25" s="64">
        <f>ROUND(Scores!S25,$C$1)</f>
        <v>91.62</v>
      </c>
      <c r="T25" s="64">
        <f>ROUND(Scores!T25,$C$1)</f>
        <v>91.62</v>
      </c>
      <c r="U25" s="64">
        <f>ROUND(Scores!U25,$C$1)</f>
        <v>100</v>
      </c>
      <c r="V25" s="64">
        <f>ROUND(Scores!V25,$C$1)</f>
        <v>100</v>
      </c>
      <c r="W25" s="64">
        <f>ROUND(Scores!W25,$C$1)</f>
        <v>91.62</v>
      </c>
      <c r="X25" s="64">
        <f>ROUND(Scores!X25,$C$1)</f>
        <v>66.36</v>
      </c>
      <c r="Y25" s="64">
        <f>ROUND(Scores!Y25,$C$1)</f>
        <v>66.36</v>
      </c>
      <c r="Z25" s="64">
        <f>ROUND(Scores!Z25,$C$1)</f>
        <v>70.51</v>
      </c>
      <c r="AA25" s="64">
        <f>ROUND(Scores!AA25,$C$1)</f>
        <v>91.62</v>
      </c>
      <c r="AB25" s="64">
        <f>ROUND(Scores!AB25,$C$1)</f>
        <v>91.62</v>
      </c>
      <c r="AC25" s="64">
        <f>ROUND(Scores!AC25,$C$1)</f>
        <v>100</v>
      </c>
      <c r="AD25" s="64">
        <f>ROUND(Scores!AD25,$C$1)</f>
        <v>100</v>
      </c>
      <c r="AE25" s="64">
        <f>ROUND(Scores!AE25,$C$1)</f>
        <v>87.37</v>
      </c>
      <c r="AF25" s="64">
        <f>ROUND(Scores!AF25,$C$1)</f>
        <v>66.36</v>
      </c>
      <c r="AG25" s="64">
        <f>ROUND(Scores!AG25,$C$1)</f>
        <v>62.12</v>
      </c>
      <c r="AH25" s="64">
        <f>ROUND(Scores!AH25,$C$1)</f>
        <v>62.12</v>
      </c>
      <c r="AI25" s="64">
        <f>ROUND(Scores!AI25,$C$1)</f>
        <v>62.12</v>
      </c>
      <c r="AJ25" s="64">
        <f>ROUND(Scores!AJ25,$C$1)</f>
        <v>66.36</v>
      </c>
      <c r="AK25" s="64">
        <f>ROUND(Scores!AK25,$C$1)</f>
        <v>53.74</v>
      </c>
      <c r="AL25" s="64">
        <f>ROUND(Scores!AL25,$C$1)</f>
        <v>57.88</v>
      </c>
      <c r="AM25" s="64">
        <f>ROUND(Scores!AM25,$C$1)</f>
        <v>45.25</v>
      </c>
      <c r="AN25" s="64">
        <f>ROUND(Scores!AN25,$C$1)</f>
        <v>62.12</v>
      </c>
      <c r="AO25" s="64">
        <f>ROUND(Scores!AO25,$C$1)</f>
        <v>100</v>
      </c>
      <c r="AP25" s="64">
        <f>ROUND(Scores!AP25,$C$1)</f>
        <v>100</v>
      </c>
      <c r="AQ25" s="64">
        <f>ROUND(Scores!AQ25,$C$1)</f>
        <v>87.37</v>
      </c>
      <c r="AR25" s="64">
        <f>ROUND(Scores!AR25,$C$1)</f>
        <v>83.13</v>
      </c>
      <c r="AS25" s="64">
        <f>ROUND(Scores!AS25,$C$1)</f>
        <v>82.83</v>
      </c>
      <c r="AT25" s="64">
        <f>ROUND(Scores!AT25,$C$1)</f>
        <v>62.12</v>
      </c>
      <c r="AU25" s="64">
        <f>ROUND(Scores!AU25,$C$1)</f>
        <v>49.49</v>
      </c>
      <c r="AV25" s="64">
        <f>ROUND(Scores!AV25,$C$1)</f>
        <v>70.71</v>
      </c>
      <c r="AW25" s="64">
        <f>ROUND(Scores!AW25,$C$1)</f>
        <v>70.71</v>
      </c>
      <c r="AX25" s="64">
        <f>ROUND(Scores!AX25,$C$1)</f>
        <v>66.67</v>
      </c>
      <c r="AY25" s="64">
        <f>ROUND(Scores!AY25,$C$1)</f>
        <v>74.75</v>
      </c>
      <c r="AZ25" s="64">
        <f>ROUND(Scores!AZ25,$C$1)</f>
        <v>100</v>
      </c>
      <c r="BA25" s="64">
        <f>ROUND(Scores!BA25,$C$1)</f>
        <v>100</v>
      </c>
      <c r="BB25" s="64">
        <f>ROUND(Scores!BB25,$C$1)</f>
        <v>100</v>
      </c>
      <c r="BC25" s="64">
        <f>ROUND(Scores!BC25,$C$1)</f>
        <v>87.37</v>
      </c>
      <c r="BD25" s="64">
        <f>ROUND(Scores!BD25,$C$1)</f>
        <v>87.88</v>
      </c>
      <c r="BE25" s="64">
        <f>ROUND(Scores!BE25,$C$1)</f>
        <v>100</v>
      </c>
      <c r="BF25" s="64">
        <f>ROUND(Scores!BF25,$C$1)</f>
        <v>78.99</v>
      </c>
      <c r="BG25" s="64">
        <f>ROUND(Scores!BG25,$C$1)</f>
        <v>87.37</v>
      </c>
      <c r="BH25" s="64">
        <f>ROUND(Scores!BH25,$C$1)</f>
        <v>91.92</v>
      </c>
      <c r="BI25" s="64">
        <f>ROUND(Scores!BI25,$C$1)</f>
        <v>100</v>
      </c>
      <c r="BJ25" s="64">
        <f>ROUND(Scores!BJ25,$C$1)</f>
        <v>49.49</v>
      </c>
      <c r="BK25" s="64">
        <f>ROUND(Scores!BK25,$C$1)</f>
        <v>69.7</v>
      </c>
    </row>
    <row r="26" s="22" customFormat="1" spans="1:63">
      <c r="A26" s="24"/>
      <c r="B26" s="24"/>
      <c r="C26" s="24"/>
      <c r="D26" s="52"/>
      <c r="E26" s="52"/>
      <c r="F26" s="52"/>
      <c r="G26" s="52"/>
      <c r="H26" s="52"/>
      <c r="I26" s="52"/>
      <c r="J26" s="52"/>
      <c r="K26" s="54"/>
      <c r="L26" s="62" t="str">
        <f>tblIndicators!Z19</f>
        <v>2.1.3) No. of beds per 1000</v>
      </c>
      <c r="M26" s="63"/>
      <c r="N26" s="64">
        <f>ROUND(Scores!N26,$C$1)</f>
        <v>100</v>
      </c>
      <c r="O26" s="64">
        <f>ROUND(Scores!O26,$C$1)</f>
        <v>6.18</v>
      </c>
      <c r="P26" s="64">
        <f>ROUND(Scores!P26,$C$1)</f>
        <v>18.69</v>
      </c>
      <c r="Q26" s="64">
        <f>ROUND(Scores!Q26,$C$1)</f>
        <v>10.77</v>
      </c>
      <c r="R26" s="64">
        <f>ROUND(Scores!R26,$C$1)</f>
        <v>7.85</v>
      </c>
      <c r="S26" s="64">
        <f>ROUND(Scores!S26,$C$1)</f>
        <v>5.06</v>
      </c>
      <c r="T26" s="64">
        <f>ROUND(Scores!T26,$C$1)</f>
        <v>12.44</v>
      </c>
      <c r="U26" s="64">
        <f>ROUND(Scores!U26,$C$1)</f>
        <v>10.35</v>
      </c>
      <c r="V26" s="64">
        <f>ROUND(Scores!V26,$C$1)</f>
        <v>54.26</v>
      </c>
      <c r="W26" s="64">
        <f>ROUND(Scores!W26,$C$1)</f>
        <v>10.35</v>
      </c>
      <c r="X26" s="64">
        <f>ROUND(Scores!X26,$C$1)</f>
        <v>4.52</v>
      </c>
      <c r="Y26" s="64">
        <f>ROUND(Scores!Y26,$C$1)</f>
        <v>6.6</v>
      </c>
      <c r="Z26" s="64">
        <f>ROUND(Scores!Z26,$C$1)</f>
        <v>8.69</v>
      </c>
      <c r="AA26" s="64">
        <f>ROUND(Scores!AA26,$C$1)</f>
        <v>12.85</v>
      </c>
      <c r="AB26" s="64">
        <f>ROUND(Scores!AB26,$C$1)</f>
        <v>24.53</v>
      </c>
      <c r="AC26" s="64">
        <f>ROUND(Scores!AC26,$C$1)</f>
        <v>12.4</v>
      </c>
      <c r="AD26" s="64">
        <f>ROUND(Scores!AD26,$C$1)</f>
        <v>9.6</v>
      </c>
      <c r="AE26" s="64">
        <f>ROUND(Scores!AE26,$C$1)</f>
        <v>20.74</v>
      </c>
      <c r="AF26" s="64">
        <f>ROUND(Scores!AF26,$C$1)</f>
        <v>20.11</v>
      </c>
      <c r="AG26" s="64">
        <f>ROUND(Scores!AG26,$C$1)</f>
        <v>19.15</v>
      </c>
      <c r="AH26" s="64">
        <f>ROUND(Scores!AH26,$C$1)</f>
        <v>10.27</v>
      </c>
      <c r="AI26" s="64">
        <f>ROUND(Scores!AI26,$C$1)</f>
        <v>20.11</v>
      </c>
      <c r="AJ26" s="64">
        <f>ROUND(Scores!AJ26,$C$1)</f>
        <v>15.73</v>
      </c>
      <c r="AK26" s="64">
        <f>ROUND(Scores!AK26,$C$1)</f>
        <v>7.93</v>
      </c>
      <c r="AL26" s="64">
        <f>ROUND(Scores!AL26,$C$1)</f>
        <v>9.31</v>
      </c>
      <c r="AM26" s="64">
        <f>ROUND(Scores!AM26,$C$1)</f>
        <v>6.6</v>
      </c>
      <c r="AN26" s="64">
        <f>ROUND(Scores!AN26,$C$1)</f>
        <v>0.35</v>
      </c>
      <c r="AO26" s="64">
        <f>ROUND(Scores!AO26,$C$1)</f>
        <v>34.87</v>
      </c>
      <c r="AP26" s="64">
        <f>ROUND(Scores!AP26,$C$1)</f>
        <v>42.88</v>
      </c>
      <c r="AQ26" s="64">
        <f>ROUND(Scores!AQ26,$C$1)</f>
        <v>8.27</v>
      </c>
      <c r="AR26" s="64">
        <f>ROUND(Scores!AR26,$C$1)</f>
        <v>19.94</v>
      </c>
      <c r="AS26" s="64">
        <f>ROUND(Scores!AS26,$C$1)</f>
        <v>34.12</v>
      </c>
      <c r="AT26" s="64">
        <f>ROUND(Scores!AT26,$C$1)</f>
        <v>15.61</v>
      </c>
      <c r="AU26" s="64">
        <f>ROUND(Scores!AU26,$C$1)</f>
        <v>15.77</v>
      </c>
      <c r="AV26" s="64">
        <f>ROUND(Scores!AV26,$C$1)</f>
        <v>9.1</v>
      </c>
      <c r="AW26" s="64">
        <f>ROUND(Scores!AW26,$C$1)</f>
        <v>4.93</v>
      </c>
      <c r="AX26" s="64">
        <f>ROUND(Scores!AX26,$C$1)</f>
        <v>9.14</v>
      </c>
      <c r="AY26" s="64">
        <f>ROUND(Scores!AY26,$C$1)</f>
        <v>11.19</v>
      </c>
      <c r="AZ26" s="64">
        <f>ROUND(Scores!AZ26,$C$1)</f>
        <v>31.74</v>
      </c>
      <c r="BA26" s="64">
        <f>ROUND(Scores!BA26,$C$1)</f>
        <v>29.58</v>
      </c>
      <c r="BB26" s="64">
        <f>ROUND(Scores!BB26,$C$1)</f>
        <v>34.54</v>
      </c>
      <c r="BC26" s="64">
        <f>ROUND(Scores!BC26,$C$1)</f>
        <v>17.86</v>
      </c>
      <c r="BD26" s="64">
        <f>ROUND(Scores!BD26,$C$1)</f>
        <v>23.28</v>
      </c>
      <c r="BE26" s="64">
        <f>ROUND(Scores!BE26,$C$1)</f>
        <v>19.53</v>
      </c>
      <c r="BF26" s="64">
        <f>ROUND(Scores!BF26,$C$1)</f>
        <v>40.37</v>
      </c>
      <c r="BG26" s="64">
        <f>ROUND(Scores!BG26,$C$1)</f>
        <v>12.6</v>
      </c>
      <c r="BH26" s="64">
        <f>ROUND(Scores!BH26,$C$1)</f>
        <v>13.36</v>
      </c>
      <c r="BI26" s="64">
        <f>ROUND(Scores!BI26,$C$1)</f>
        <v>18.28</v>
      </c>
      <c r="BJ26" s="64">
        <f>ROUND(Scores!BJ26,$C$1)</f>
        <v>0</v>
      </c>
      <c r="BK26" s="64">
        <f>ROUND(Scores!BK26,$C$1)</f>
        <v>9.1</v>
      </c>
    </row>
    <row r="27" s="22" customFormat="1" spans="1:63">
      <c r="A27" s="24"/>
      <c r="B27" s="24"/>
      <c r="C27" s="24"/>
      <c r="D27" s="52"/>
      <c r="E27" s="52"/>
      <c r="F27" s="52"/>
      <c r="G27" s="52"/>
      <c r="H27" s="52"/>
      <c r="I27" s="52"/>
      <c r="J27" s="52"/>
      <c r="K27" s="54"/>
      <c r="L27" s="62" t="str">
        <f>tblIndicators!Z20</f>
        <v>2.1.4) Number of doctors per 1000</v>
      </c>
      <c r="M27" s="63"/>
      <c r="N27" s="64">
        <f>ROUND(Scores!N27,$C$1)</f>
        <v>24.37</v>
      </c>
      <c r="O27" s="64">
        <f>ROUND(Scores!O27,$C$1)</f>
        <v>1.72</v>
      </c>
      <c r="P27" s="64">
        <f>ROUND(Scores!P27,$C$1)</f>
        <v>16.67</v>
      </c>
      <c r="Q27" s="64">
        <f>ROUND(Scores!Q27,$C$1)</f>
        <v>21.26</v>
      </c>
      <c r="R27" s="64">
        <f>ROUND(Scores!R27,$C$1)</f>
        <v>18.97</v>
      </c>
      <c r="S27" s="64">
        <f>ROUND(Scores!S27,$C$1)</f>
        <v>13.1</v>
      </c>
      <c r="T27" s="64">
        <f>ROUND(Scores!T27,$C$1)</f>
        <v>12.01</v>
      </c>
      <c r="U27" s="64">
        <f>ROUND(Scores!U27,$C$1)</f>
        <v>3.45</v>
      </c>
      <c r="V27" s="64">
        <f>ROUND(Scores!V27,$C$1)</f>
        <v>4.66</v>
      </c>
      <c r="W27" s="64">
        <f>ROUND(Scores!W27,$C$1)</f>
        <v>13.39</v>
      </c>
      <c r="X27" s="64">
        <f>ROUND(Scores!X27,$C$1)</f>
        <v>12.64</v>
      </c>
      <c r="Y27" s="64">
        <f>ROUND(Scores!Y27,$C$1)</f>
        <v>4.6</v>
      </c>
      <c r="Z27" s="64">
        <f>ROUND(Scores!Z27,$C$1)</f>
        <v>4.08</v>
      </c>
      <c r="AA27" s="64">
        <f>ROUND(Scores!AA27,$C$1)</f>
        <v>18.28</v>
      </c>
      <c r="AB27" s="64">
        <f>ROUND(Scores!AB27,$C$1)</f>
        <v>42.18</v>
      </c>
      <c r="AC27" s="64">
        <f>ROUND(Scores!AC27,$C$1)</f>
        <v>16.03</v>
      </c>
      <c r="AD27" s="64">
        <f>ROUND(Scores!AD27,$C$1)</f>
        <v>17.41</v>
      </c>
      <c r="AE27" s="64">
        <f>ROUND(Scores!AE27,$C$1)</f>
        <v>8.85</v>
      </c>
      <c r="AF27" s="64">
        <f>ROUND(Scores!AF27,$C$1)</f>
        <v>18.91</v>
      </c>
      <c r="AG27" s="64">
        <f>ROUND(Scores!AG27,$C$1)</f>
        <v>11.72</v>
      </c>
      <c r="AH27" s="64">
        <f>ROUND(Scores!AH27,$C$1)</f>
        <v>11.32</v>
      </c>
      <c r="AI27" s="64">
        <f>ROUND(Scores!AI27,$C$1)</f>
        <v>14.89</v>
      </c>
      <c r="AJ27" s="64">
        <f>ROUND(Scores!AJ27,$C$1)</f>
        <v>10.75</v>
      </c>
      <c r="AK27" s="64">
        <f>ROUND(Scores!AK27,$C$1)</f>
        <v>1.38</v>
      </c>
      <c r="AL27" s="64">
        <f>ROUND(Scores!AL27,$C$1)</f>
        <v>16.09</v>
      </c>
      <c r="AM27" s="64">
        <f>ROUND(Scores!AM27,$C$1)</f>
        <v>0</v>
      </c>
      <c r="AN27" s="64">
        <f>ROUND(Scores!AN27,$C$1)</f>
        <v>3.39</v>
      </c>
      <c r="AO27" s="64">
        <f>ROUND(Scores!AO27,$C$1)</f>
        <v>15.75</v>
      </c>
      <c r="AP27" s="64">
        <f>ROUND(Scores!AP27,$C$1)</f>
        <v>27.01</v>
      </c>
      <c r="AQ27" s="64">
        <f>ROUND(Scores!AQ27,$C$1)</f>
        <v>7.47</v>
      </c>
      <c r="AR27" s="64">
        <f>ROUND(Scores!AR27,$C$1)</f>
        <v>18.33</v>
      </c>
      <c r="AS27" s="64">
        <f>ROUND(Scores!AS27,$C$1)</f>
        <v>100</v>
      </c>
      <c r="AT27" s="64">
        <f>ROUND(Scores!AT27,$C$1)</f>
        <v>0</v>
      </c>
      <c r="AU27" s="64">
        <f>ROUND(Scores!AU27,$C$1)</f>
        <v>5.29</v>
      </c>
      <c r="AV27" s="64">
        <f>ROUND(Scores!AV27,$C$1)</f>
        <v>10.75</v>
      </c>
      <c r="AW27" s="64">
        <f>ROUND(Scores!AW27,$C$1)</f>
        <v>46.21</v>
      </c>
      <c r="AX27" s="64">
        <f>ROUND(Scores!AX27,$C$1)</f>
        <v>10.92</v>
      </c>
      <c r="AY27" s="64">
        <f>ROUND(Scores!AY27,$C$1)</f>
        <v>11.49</v>
      </c>
      <c r="AZ27" s="64">
        <f>ROUND(Scores!AZ27,$C$1)</f>
        <v>31.03</v>
      </c>
      <c r="BA27" s="64">
        <f>ROUND(Scores!BA27,$C$1)</f>
        <v>18.39</v>
      </c>
      <c r="BB27" s="64">
        <f>ROUND(Scores!BB27,$C$1)</f>
        <v>19.48</v>
      </c>
      <c r="BC27" s="64">
        <f>ROUND(Scores!BC27,$C$1)</f>
        <v>21.84</v>
      </c>
      <c r="BD27" s="64">
        <f>ROUND(Scores!BD27,$C$1)</f>
        <v>5.92</v>
      </c>
      <c r="BE27" s="64">
        <f>ROUND(Scores!BE27,$C$1)</f>
        <v>14.94</v>
      </c>
      <c r="BF27" s="64">
        <f>ROUND(Scores!BF27,$C$1)</f>
        <v>20.69</v>
      </c>
      <c r="BG27" s="64">
        <f>ROUND(Scores!BG27,$C$1)</f>
        <v>27.41</v>
      </c>
      <c r="BH27" s="64">
        <f>ROUND(Scores!BH27,$C$1)</f>
        <v>25.29</v>
      </c>
      <c r="BI27" s="64">
        <f>ROUND(Scores!BI27,$C$1)</f>
        <v>25</v>
      </c>
      <c r="BJ27" s="64">
        <f>ROUND(Scores!BJ27,$C$1)</f>
        <v>3.68</v>
      </c>
      <c r="BK27" s="64">
        <f>ROUND(Scores!BK27,$C$1)</f>
        <v>18.28</v>
      </c>
    </row>
    <row r="28" s="22" customFormat="1" spans="1:63">
      <c r="A28" s="24"/>
      <c r="B28" s="24"/>
      <c r="C28" s="24"/>
      <c r="D28" s="52"/>
      <c r="E28" s="52"/>
      <c r="F28" s="52"/>
      <c r="G28" s="52"/>
      <c r="H28" s="52"/>
      <c r="I28" s="52"/>
      <c r="J28" s="52"/>
      <c r="K28" s="54"/>
      <c r="L28" s="62" t="str">
        <f>tblIndicators!Z21</f>
        <v>2.1.5) Access to safe and quality food</v>
      </c>
      <c r="M28" s="63"/>
      <c r="N28" s="64">
        <f>ROUND(Scores!N28,$C$1)</f>
        <v>100</v>
      </c>
      <c r="O28" s="64">
        <f>ROUND(Scores!O28,$C$1)</f>
        <v>87.37</v>
      </c>
      <c r="P28" s="64">
        <f>ROUND(Scores!P28,$C$1)</f>
        <v>97.17</v>
      </c>
      <c r="Q28" s="64">
        <f>ROUND(Scores!Q28,$C$1)</f>
        <v>90.61</v>
      </c>
      <c r="R28" s="64">
        <f>ROUND(Scores!R28,$C$1)</f>
        <v>90.61</v>
      </c>
      <c r="S28" s="64">
        <f>ROUND(Scores!S28,$C$1)</f>
        <v>96.36</v>
      </c>
      <c r="T28" s="64">
        <f>ROUND(Scores!T28,$C$1)</f>
        <v>96.36</v>
      </c>
      <c r="U28" s="64">
        <f>ROUND(Scores!U28,$C$1)</f>
        <v>99.39</v>
      </c>
      <c r="V28" s="64">
        <f>ROUND(Scores!V28,$C$1)</f>
        <v>99.39</v>
      </c>
      <c r="W28" s="64">
        <f>ROUND(Scores!W28,$C$1)</f>
        <v>96.36</v>
      </c>
      <c r="X28" s="64">
        <f>ROUND(Scores!X28,$C$1)</f>
        <v>93.54</v>
      </c>
      <c r="Y28" s="64">
        <f>ROUND(Scores!Y28,$C$1)</f>
        <v>66.77</v>
      </c>
      <c r="Z28" s="64">
        <f>ROUND(Scores!Z28,$C$1)</f>
        <v>93.94</v>
      </c>
      <c r="AA28" s="64">
        <f>ROUND(Scores!AA28,$C$1)</f>
        <v>96.36</v>
      </c>
      <c r="AB28" s="64">
        <f>ROUND(Scores!AB28,$C$1)</f>
        <v>96.36</v>
      </c>
      <c r="AC28" s="64">
        <f>ROUND(Scores!AC28,$C$1)</f>
        <v>100</v>
      </c>
      <c r="AD28" s="64">
        <f>ROUND(Scores!AD28,$C$1)</f>
        <v>100</v>
      </c>
      <c r="AE28" s="64">
        <f>ROUND(Scores!AE28,$C$1)</f>
        <v>90.81</v>
      </c>
      <c r="AF28" s="64">
        <f>ROUND(Scores!AF28,$C$1)</f>
        <v>90.81</v>
      </c>
      <c r="AG28" s="64">
        <f>ROUND(Scores!AG28,$C$1)</f>
        <v>90.81</v>
      </c>
      <c r="AH28" s="64">
        <f>ROUND(Scores!AH28,$C$1)</f>
        <v>90.81</v>
      </c>
      <c r="AI28" s="64">
        <f>ROUND(Scores!AI28,$C$1)</f>
        <v>90.81</v>
      </c>
      <c r="AJ28" s="64">
        <f>ROUND(Scores!AJ28,$C$1)</f>
        <v>90.81</v>
      </c>
      <c r="AK28" s="64">
        <f>ROUND(Scores!AK28,$C$1)</f>
        <v>81.01</v>
      </c>
      <c r="AL28" s="64">
        <f>ROUND(Scores!AL28,$C$1)</f>
        <v>81.01</v>
      </c>
      <c r="AM28" s="64">
        <f>ROUND(Scores!AM28,$C$1)</f>
        <v>72.42</v>
      </c>
      <c r="AN28" s="64">
        <f>ROUND(Scores!AN28,$C$1)</f>
        <v>74.75</v>
      </c>
      <c r="AO28" s="64">
        <f>ROUND(Scores!AO28,$C$1)</f>
        <v>100</v>
      </c>
      <c r="AP28" s="64">
        <f>ROUND(Scores!AP28,$C$1)</f>
        <v>100</v>
      </c>
      <c r="AQ28" s="64">
        <f>ROUND(Scores!AQ28,$C$1)</f>
        <v>100</v>
      </c>
      <c r="AR28" s="64">
        <f>ROUND(Scores!AR28,$C$1)</f>
        <v>92.63</v>
      </c>
      <c r="AS28" s="64">
        <f>ROUND(Scores!AS28,$C$1)</f>
        <v>90.81</v>
      </c>
      <c r="AT28" s="64">
        <f>ROUND(Scores!AT28,$C$1)</f>
        <v>97.17</v>
      </c>
      <c r="AU28" s="64">
        <f>ROUND(Scores!AU28,$C$1)</f>
        <v>83.64</v>
      </c>
      <c r="AV28" s="64">
        <f>ROUND(Scores!AV28,$C$1)</f>
        <v>99.39</v>
      </c>
      <c r="AW28" s="64">
        <f>ROUND(Scores!AW28,$C$1)</f>
        <v>97.98</v>
      </c>
      <c r="AX28" s="64">
        <f>ROUND(Scores!AX28,$C$1)</f>
        <v>98.18</v>
      </c>
      <c r="AY28" s="64">
        <f>ROUND(Scores!AY28,$C$1)</f>
        <v>100</v>
      </c>
      <c r="AZ28" s="64">
        <f>ROUND(Scores!AZ28,$C$1)</f>
        <v>100</v>
      </c>
      <c r="BA28" s="64">
        <f>ROUND(Scores!BA28,$C$1)</f>
        <v>100</v>
      </c>
      <c r="BB28" s="64">
        <f>ROUND(Scores!BB28,$C$1)</f>
        <v>100</v>
      </c>
      <c r="BC28" s="64">
        <f>ROUND(Scores!BC28,$C$1)</f>
        <v>100</v>
      </c>
      <c r="BD28" s="64">
        <f>ROUND(Scores!BD28,$C$1)</f>
        <v>100</v>
      </c>
      <c r="BE28" s="64">
        <f>ROUND(Scores!BE28,$C$1)</f>
        <v>100</v>
      </c>
      <c r="BF28" s="64">
        <f>ROUND(Scores!BF28,$C$1)</f>
        <v>95.25</v>
      </c>
      <c r="BG28" s="64">
        <f>ROUND(Scores!BG28,$C$1)</f>
        <v>100</v>
      </c>
      <c r="BH28" s="64">
        <f>ROUND(Scores!BH28,$C$1)</f>
        <v>100</v>
      </c>
      <c r="BI28" s="64">
        <f>ROUND(Scores!BI28,$C$1)</f>
        <v>100</v>
      </c>
      <c r="BJ28" s="64">
        <f>ROUND(Scores!BJ28,$C$1)</f>
        <v>99.49</v>
      </c>
      <c r="BK28" s="64">
        <f>ROUND(Scores!BK28,$C$1)</f>
        <v>100</v>
      </c>
    </row>
    <row r="29" s="22" customFormat="1" spans="1:63">
      <c r="A29" s="24"/>
      <c r="B29" s="24"/>
      <c r="C29" s="24"/>
      <c r="D29" s="52"/>
      <c r="E29" s="52"/>
      <c r="F29" s="52"/>
      <c r="G29" s="52"/>
      <c r="H29" s="52"/>
      <c r="I29" s="52"/>
      <c r="J29" s="52"/>
      <c r="K29" s="54"/>
      <c r="L29" s="62" t="str">
        <f>tblIndicators!Z22</f>
        <v>2.1.6) Quality of health services</v>
      </c>
      <c r="M29" s="63"/>
      <c r="N29" s="64">
        <f>ROUND(Scores!N29,$C$1)</f>
        <v>100</v>
      </c>
      <c r="O29" s="64">
        <f>ROUND(Scores!O29,$C$1)</f>
        <v>50</v>
      </c>
      <c r="P29" s="64">
        <f>ROUND(Scores!P29,$C$1)</f>
        <v>75</v>
      </c>
      <c r="Q29" s="64">
        <f>ROUND(Scores!Q29,$C$1)</f>
        <v>62.5</v>
      </c>
      <c r="R29" s="64">
        <f>ROUND(Scores!R29,$C$1)</f>
        <v>62.5</v>
      </c>
      <c r="S29" s="64">
        <f>ROUND(Scores!S29,$C$1)</f>
        <v>87.5</v>
      </c>
      <c r="T29" s="64">
        <f>ROUND(Scores!T29,$C$1)</f>
        <v>87.5</v>
      </c>
      <c r="U29" s="64">
        <f>ROUND(Scores!U29,$C$1)</f>
        <v>100</v>
      </c>
      <c r="V29" s="64">
        <f>ROUND(Scores!V29,$C$1)</f>
        <v>100</v>
      </c>
      <c r="W29" s="64">
        <f>ROUND(Scores!W29,$C$1)</f>
        <v>87.5</v>
      </c>
      <c r="X29" s="64">
        <f>ROUND(Scores!X29,$C$1)</f>
        <v>50</v>
      </c>
      <c r="Y29" s="64">
        <f>ROUND(Scores!Y29,$C$1)</f>
        <v>62.5</v>
      </c>
      <c r="Z29" s="64">
        <f>ROUND(Scores!Z29,$C$1)</f>
        <v>62.5</v>
      </c>
      <c r="AA29" s="64">
        <f>ROUND(Scores!AA29,$C$1)</f>
        <v>87.5</v>
      </c>
      <c r="AB29" s="64">
        <f>ROUND(Scores!AB29,$C$1)</f>
        <v>87.5</v>
      </c>
      <c r="AC29" s="64">
        <f>ROUND(Scores!AC29,$C$1)</f>
        <v>100</v>
      </c>
      <c r="AD29" s="64">
        <f>ROUND(Scores!AD29,$C$1)</f>
        <v>100</v>
      </c>
      <c r="AE29" s="64">
        <f>ROUND(Scores!AE29,$C$1)</f>
        <v>87.5</v>
      </c>
      <c r="AF29" s="64">
        <f>ROUND(Scores!AF29,$C$1)</f>
        <v>62.5</v>
      </c>
      <c r="AG29" s="64">
        <f>ROUND(Scores!AG29,$C$1)</f>
        <v>62.5</v>
      </c>
      <c r="AH29" s="64">
        <f>ROUND(Scores!AH29,$C$1)</f>
        <v>62.5</v>
      </c>
      <c r="AI29" s="64">
        <f>ROUND(Scores!AI29,$C$1)</f>
        <v>62.5</v>
      </c>
      <c r="AJ29" s="64">
        <f>ROUND(Scores!AJ29,$C$1)</f>
        <v>62.5</v>
      </c>
      <c r="AK29" s="64">
        <f>ROUND(Scores!AK29,$C$1)</f>
        <v>37.5</v>
      </c>
      <c r="AL29" s="64">
        <f>ROUND(Scores!AL29,$C$1)</f>
        <v>62.5</v>
      </c>
      <c r="AM29" s="64">
        <f>ROUND(Scores!AM29,$C$1)</f>
        <v>37.5</v>
      </c>
      <c r="AN29" s="64">
        <f>ROUND(Scores!AN29,$C$1)</f>
        <v>62.5</v>
      </c>
      <c r="AO29" s="64">
        <f>ROUND(Scores!AO29,$C$1)</f>
        <v>100</v>
      </c>
      <c r="AP29" s="64">
        <f>ROUND(Scores!AP29,$C$1)</f>
        <v>100</v>
      </c>
      <c r="AQ29" s="64">
        <f>ROUND(Scores!AQ29,$C$1)</f>
        <v>100</v>
      </c>
      <c r="AR29" s="64">
        <f>ROUND(Scores!AR29,$C$1)</f>
        <v>87.5</v>
      </c>
      <c r="AS29" s="64">
        <f>ROUND(Scores!AS29,$C$1)</f>
        <v>87.5</v>
      </c>
      <c r="AT29" s="64">
        <f>ROUND(Scores!AT29,$C$1)</f>
        <v>62.5</v>
      </c>
      <c r="AU29" s="64">
        <f>ROUND(Scores!AU29,$C$1)</f>
        <v>37.5</v>
      </c>
      <c r="AV29" s="64">
        <f>ROUND(Scores!AV29,$C$1)</f>
        <v>87.5</v>
      </c>
      <c r="AW29" s="64">
        <f>ROUND(Scores!AW29,$C$1)</f>
        <v>75</v>
      </c>
      <c r="AX29" s="64">
        <f>ROUND(Scores!AX29,$C$1)</f>
        <v>62.5</v>
      </c>
      <c r="AY29" s="64">
        <f>ROUND(Scores!AY29,$C$1)</f>
        <v>75</v>
      </c>
      <c r="AZ29" s="64">
        <f>ROUND(Scores!AZ29,$C$1)</f>
        <v>100</v>
      </c>
      <c r="BA29" s="64">
        <f>ROUND(Scores!BA29,$C$1)</f>
        <v>100</v>
      </c>
      <c r="BB29" s="64">
        <f>ROUND(Scores!BB29,$C$1)</f>
        <v>100</v>
      </c>
      <c r="BC29" s="64">
        <f>ROUND(Scores!BC29,$C$1)</f>
        <v>75</v>
      </c>
      <c r="BD29" s="64">
        <f>ROUND(Scores!BD29,$C$1)</f>
        <v>75</v>
      </c>
      <c r="BE29" s="64">
        <f>ROUND(Scores!BE29,$C$1)</f>
        <v>100</v>
      </c>
      <c r="BF29" s="64">
        <f>ROUND(Scores!BF29,$C$1)</f>
        <v>75</v>
      </c>
      <c r="BG29" s="64">
        <f>ROUND(Scores!BG29,$C$1)</f>
        <v>87.5</v>
      </c>
      <c r="BH29" s="64">
        <f>ROUND(Scores!BH29,$C$1)</f>
        <v>100</v>
      </c>
      <c r="BI29" s="64">
        <f>ROUND(Scores!BI29,$C$1)</f>
        <v>100</v>
      </c>
      <c r="BJ29" s="64">
        <f>ROUND(Scores!BJ29,$C$1)</f>
        <v>50</v>
      </c>
      <c r="BK29" s="64">
        <f>ROUND(Scores!BK29,$C$1)</f>
        <v>87.5</v>
      </c>
    </row>
    <row r="30" s="21" customFormat="1" spans="1:63">
      <c r="A30" s="30"/>
      <c r="B30" s="30"/>
      <c r="C30" s="30"/>
      <c r="D30" s="53"/>
      <c r="E30" s="53"/>
      <c r="F30" s="53"/>
      <c r="G30" s="53"/>
      <c r="H30" s="53"/>
      <c r="I30" s="53"/>
      <c r="J30" s="53"/>
      <c r="K30" s="58"/>
      <c r="L30" s="59" t="str">
        <f>tblIndicators!Z23</f>
        <v>2.2) Health Security (Outputs)</v>
      </c>
      <c r="M30" s="60"/>
      <c r="N30" s="61">
        <f>ROUND(Scores!N30,$C$1)</f>
        <v>80.92</v>
      </c>
      <c r="O30" s="61">
        <f>ROUND(Scores!O30,$C$1)</f>
        <v>56.36</v>
      </c>
      <c r="P30" s="61">
        <f>ROUND(Scores!P30,$C$1)</f>
        <v>68.88</v>
      </c>
      <c r="Q30" s="61">
        <f>ROUND(Scores!Q30,$C$1)</f>
        <v>68.58</v>
      </c>
      <c r="R30" s="61">
        <f>ROUND(Scores!R30,$C$1)</f>
        <v>58.72</v>
      </c>
      <c r="S30" s="61">
        <f>ROUND(Scores!S30,$C$1)</f>
        <v>68.74</v>
      </c>
      <c r="T30" s="61">
        <f>ROUND(Scores!T30,$C$1)</f>
        <v>81.84</v>
      </c>
      <c r="U30" s="61">
        <f>ROUND(Scores!U30,$C$1)</f>
        <v>81.29</v>
      </c>
      <c r="V30" s="61">
        <f>ROUND(Scores!V30,$C$1)</f>
        <v>73.89</v>
      </c>
      <c r="W30" s="61">
        <f>ROUND(Scores!W30,$C$1)</f>
        <v>75.5</v>
      </c>
      <c r="X30" s="61">
        <f>ROUND(Scores!X30,$C$1)</f>
        <v>69.11</v>
      </c>
      <c r="Y30" s="61">
        <f>ROUND(Scores!Y30,$C$1)</f>
        <v>65.98</v>
      </c>
      <c r="Z30" s="61">
        <f>ROUND(Scores!Z30,$C$1)</f>
        <v>79.95</v>
      </c>
      <c r="AA30" s="61">
        <f>ROUND(Scores!AA30,$C$1)</f>
        <v>89.27</v>
      </c>
      <c r="AB30" s="61">
        <f>ROUND(Scores!AB30,$C$1)</f>
        <v>71.36</v>
      </c>
      <c r="AC30" s="61">
        <f>ROUND(Scores!AC30,$C$1)</f>
        <v>82.35</v>
      </c>
      <c r="AD30" s="61">
        <f>ROUND(Scores!AD30,$C$1)</f>
        <v>82.07</v>
      </c>
      <c r="AE30" s="61">
        <f>ROUND(Scores!AE30,$C$1)</f>
        <v>81.71</v>
      </c>
      <c r="AF30" s="61">
        <f>ROUND(Scores!AF30,$C$1)</f>
        <v>72.82</v>
      </c>
      <c r="AG30" s="61">
        <f>ROUND(Scores!AG30,$C$1)</f>
        <v>72.1</v>
      </c>
      <c r="AH30" s="61">
        <f>ROUND(Scores!AH30,$C$1)</f>
        <v>67.89</v>
      </c>
      <c r="AI30" s="61">
        <f>ROUND(Scores!AI30,$C$1)</f>
        <v>64.56</v>
      </c>
      <c r="AJ30" s="61">
        <f>ROUND(Scores!AJ30,$C$1)</f>
        <v>68.58</v>
      </c>
      <c r="AK30" s="61">
        <f>ROUND(Scores!AK30,$C$1)</f>
        <v>51.8</v>
      </c>
      <c r="AL30" s="61">
        <f>ROUND(Scores!AL30,$C$1)</f>
        <v>55.58</v>
      </c>
      <c r="AM30" s="61">
        <f>ROUND(Scores!AM30,$C$1)</f>
        <v>64.82</v>
      </c>
      <c r="AN30" s="61">
        <f>ROUND(Scores!AN30,$C$1)</f>
        <v>52.11</v>
      </c>
      <c r="AO30" s="61">
        <f>ROUND(Scores!AO30,$C$1)</f>
        <v>78.16</v>
      </c>
      <c r="AP30" s="61">
        <f>ROUND(Scores!AP30,$C$1)</f>
        <v>75.54</v>
      </c>
      <c r="AQ30" s="61">
        <f>ROUND(Scores!AQ30,$C$1)</f>
        <v>83.98</v>
      </c>
      <c r="AR30" s="61">
        <f>ROUND(Scores!AR30,$C$1)</f>
        <v>80.27</v>
      </c>
      <c r="AS30" s="61">
        <f>ROUND(Scores!AS30,$C$1)</f>
        <v>70.94</v>
      </c>
      <c r="AT30" s="61">
        <f>ROUND(Scores!AT30,$C$1)</f>
        <v>66.24</v>
      </c>
      <c r="AU30" s="61">
        <f>ROUND(Scores!AU30,$C$1)</f>
        <v>60.15</v>
      </c>
      <c r="AV30" s="61">
        <f>ROUND(Scores!AV30,$C$1)</f>
        <v>67.38</v>
      </c>
      <c r="AW30" s="61">
        <f>ROUND(Scores!AW30,$C$1)</f>
        <v>56.19</v>
      </c>
      <c r="AX30" s="61">
        <f>ROUND(Scores!AX30,$C$1)</f>
        <v>65.41</v>
      </c>
      <c r="AY30" s="61">
        <f>ROUND(Scores!AY30,$C$1)</f>
        <v>49.75</v>
      </c>
      <c r="AZ30" s="61">
        <f>ROUND(Scores!AZ30,$C$1)</f>
        <v>78.12</v>
      </c>
      <c r="BA30" s="61">
        <f>ROUND(Scores!BA30,$C$1)</f>
        <v>80.44</v>
      </c>
      <c r="BB30" s="61">
        <f>ROUND(Scores!BB30,$C$1)</f>
        <v>84.31</v>
      </c>
      <c r="BC30" s="61">
        <f>ROUND(Scores!BC30,$C$1)</f>
        <v>77.46</v>
      </c>
      <c r="BD30" s="61">
        <f>ROUND(Scores!BD30,$C$1)</f>
        <v>77.19</v>
      </c>
      <c r="BE30" s="61">
        <f>ROUND(Scores!BE30,$C$1)</f>
        <v>78.04</v>
      </c>
      <c r="BF30" s="61">
        <f>ROUND(Scores!BF30,$C$1)</f>
        <v>71.83</v>
      </c>
      <c r="BG30" s="61">
        <f>ROUND(Scores!BG30,$C$1)</f>
        <v>86.19</v>
      </c>
      <c r="BH30" s="61">
        <f>ROUND(Scores!BH30,$C$1)</f>
        <v>85.21</v>
      </c>
      <c r="BI30" s="61">
        <f>ROUND(Scores!BI30,$C$1)</f>
        <v>86.82</v>
      </c>
      <c r="BJ30" s="61">
        <f>ROUND(Scores!BJ30,$C$1)</f>
        <v>65.81</v>
      </c>
      <c r="BK30" s="61">
        <f>ROUND(Scores!BK30,$C$1)</f>
        <v>80.45</v>
      </c>
    </row>
    <row r="31" s="22" customFormat="1" spans="1:63">
      <c r="A31" s="24"/>
      <c r="B31" s="24"/>
      <c r="C31" s="24"/>
      <c r="D31" s="52"/>
      <c r="E31" s="52"/>
      <c r="F31" s="52"/>
      <c r="G31" s="52"/>
      <c r="H31" s="52"/>
      <c r="I31" s="52"/>
      <c r="J31" s="52"/>
      <c r="K31" s="54"/>
      <c r="L31" s="62" t="str">
        <f>tblIndicators!Z24</f>
        <v>2.2.1) Air quality</v>
      </c>
      <c r="M31" s="63"/>
      <c r="N31" s="64">
        <f>ROUND(Scores!N31,$C$1)</f>
        <v>93.94</v>
      </c>
      <c r="O31" s="64">
        <f>ROUND(Scores!O31,$C$1)</f>
        <v>49.49</v>
      </c>
      <c r="P31" s="64">
        <f>ROUND(Scores!P31,$C$1)</f>
        <v>84.85</v>
      </c>
      <c r="Q31" s="64">
        <f>ROUND(Scores!Q31,$C$1)</f>
        <v>81.82</v>
      </c>
      <c r="R31" s="64">
        <f>ROUND(Scores!R31,$C$1)</f>
        <v>64.65</v>
      </c>
      <c r="S31" s="64">
        <f>ROUND(Scores!S31,$C$1)</f>
        <v>80.81</v>
      </c>
      <c r="T31" s="64">
        <f>ROUND(Scores!T31,$C$1)</f>
        <v>90.91</v>
      </c>
      <c r="U31" s="64">
        <f>ROUND(Scores!U31,$C$1)</f>
        <v>92.93</v>
      </c>
      <c r="V31" s="64">
        <f>ROUND(Scores!V31,$C$1)</f>
        <v>91.92</v>
      </c>
      <c r="W31" s="64">
        <f>ROUND(Scores!W31,$C$1)</f>
        <v>87.88</v>
      </c>
      <c r="X31" s="64">
        <f>ROUND(Scores!X31,$C$1)</f>
        <v>75.76</v>
      </c>
      <c r="Y31" s="64">
        <f>ROUND(Scores!Y31,$C$1)</f>
        <v>62.63</v>
      </c>
      <c r="Z31" s="64">
        <f>ROUND(Scores!Z31,$C$1)</f>
        <v>74.75</v>
      </c>
      <c r="AA31" s="64">
        <f>ROUND(Scores!AA31,$C$1)</f>
        <v>86.87</v>
      </c>
      <c r="AB31" s="64">
        <f>ROUND(Scores!AB31,$C$1)</f>
        <v>88.89</v>
      </c>
      <c r="AC31" s="64">
        <f>ROUND(Scores!AC31,$C$1)</f>
        <v>95.96</v>
      </c>
      <c r="AD31" s="64">
        <f>ROUND(Scores!AD31,$C$1)</f>
        <v>95.96</v>
      </c>
      <c r="AE31" s="64">
        <f>ROUND(Scores!AE31,$C$1)</f>
        <v>79.8</v>
      </c>
      <c r="AF31" s="64">
        <f>ROUND(Scores!AF31,$C$1)</f>
        <v>44.44</v>
      </c>
      <c r="AG31" s="64">
        <f>ROUND(Scores!AG31,$C$1)</f>
        <v>64.65</v>
      </c>
      <c r="AH31" s="64">
        <f>ROUND(Scores!AH31,$C$1)</f>
        <v>74.75</v>
      </c>
      <c r="AI31" s="64">
        <f>ROUND(Scores!AI31,$C$1)</f>
        <v>68.69</v>
      </c>
      <c r="AJ31" s="64">
        <f>ROUND(Scores!AJ31,$C$1)</f>
        <v>56.57</v>
      </c>
      <c r="AK31" s="64">
        <f>ROUND(Scores!AK31,$C$1)</f>
        <v>55.56</v>
      </c>
      <c r="AL31" s="64">
        <f>ROUND(Scores!AL31,$C$1)</f>
        <v>53.54</v>
      </c>
      <c r="AM31" s="64">
        <f>ROUND(Scores!AM31,$C$1)</f>
        <v>79.8</v>
      </c>
      <c r="AN31" s="64">
        <f>ROUND(Scores!AN31,$C$1)</f>
        <v>70.71</v>
      </c>
      <c r="AO31" s="64">
        <f>ROUND(Scores!AO31,$C$1)</f>
        <v>90.91</v>
      </c>
      <c r="AP31" s="64">
        <f>ROUND(Scores!AP31,$C$1)</f>
        <v>91.92</v>
      </c>
      <c r="AQ31" s="64">
        <f>ROUND(Scores!AQ31,$C$1)</f>
        <v>83.84</v>
      </c>
      <c r="AR31" s="64">
        <f>ROUND(Scores!AR31,$C$1)</f>
        <v>78.79</v>
      </c>
      <c r="AS31" s="64">
        <f>ROUND(Scores!AS31,$C$1)</f>
        <v>59.6</v>
      </c>
      <c r="AT31" s="64">
        <f>ROUND(Scores!AT31,$C$1)</f>
        <v>80.81</v>
      </c>
      <c r="AU31" s="64">
        <f>ROUND(Scores!AU31,$C$1)</f>
        <v>73.74</v>
      </c>
      <c r="AV31" s="64">
        <f>ROUND(Scores!AV31,$C$1)</f>
        <v>40.4</v>
      </c>
      <c r="AW31" s="64">
        <f>ROUND(Scores!AW31,$C$1)</f>
        <v>7.07</v>
      </c>
      <c r="AX31" s="64">
        <f>ROUND(Scores!AX31,$C$1)</f>
        <v>72.73</v>
      </c>
      <c r="AY31" s="64">
        <f>ROUND(Scores!AY31,$C$1)</f>
        <v>36.36</v>
      </c>
      <c r="AZ31" s="64">
        <f>ROUND(Scores!AZ31,$C$1)</f>
        <v>82.83</v>
      </c>
      <c r="BA31" s="64">
        <f>ROUND(Scores!BA31,$C$1)</f>
        <v>83.84</v>
      </c>
      <c r="BB31" s="64">
        <f>ROUND(Scores!BB31,$C$1)</f>
        <v>82.83</v>
      </c>
      <c r="BC31" s="64">
        <f>ROUND(Scores!BC31,$C$1)</f>
        <v>79.8</v>
      </c>
      <c r="BD31" s="64">
        <f>ROUND(Scores!BD31,$C$1)</f>
        <v>67.68</v>
      </c>
      <c r="BE31" s="64">
        <f>ROUND(Scores!BE31,$C$1)</f>
        <v>82.83</v>
      </c>
      <c r="BF31" s="64">
        <f>ROUND(Scores!BF31,$C$1)</f>
        <v>78.79</v>
      </c>
      <c r="BG31" s="64">
        <f>ROUND(Scores!BG31,$C$1)</f>
        <v>89.9</v>
      </c>
      <c r="BH31" s="64">
        <f>ROUND(Scores!BH31,$C$1)</f>
        <v>84.85</v>
      </c>
      <c r="BI31" s="64">
        <f>ROUND(Scores!BI31,$C$1)</f>
        <v>86.87</v>
      </c>
      <c r="BJ31" s="64">
        <f>ROUND(Scores!BJ31,$C$1)</f>
        <v>68.69</v>
      </c>
      <c r="BK31" s="64">
        <f>ROUND(Scores!BK31,$C$1)</f>
        <v>84.85</v>
      </c>
    </row>
    <row r="32" s="22" customFormat="1" spans="1:63">
      <c r="A32" s="24"/>
      <c r="B32" s="24"/>
      <c r="C32" s="24"/>
      <c r="D32" s="52"/>
      <c r="E32" s="52"/>
      <c r="F32" s="52"/>
      <c r="G32" s="52"/>
      <c r="H32" s="52"/>
      <c r="I32" s="52"/>
      <c r="J32" s="52"/>
      <c r="K32" s="54"/>
      <c r="L32" s="62" t="str">
        <f>tblIndicators!Z25</f>
        <v>2.2.2) Water quality</v>
      </c>
      <c r="M32" s="63"/>
      <c r="N32" s="64">
        <f>ROUND(Scores!N32,$C$1)</f>
        <v>71.11</v>
      </c>
      <c r="O32" s="64">
        <f>ROUND(Scores!O32,$C$1)</f>
        <v>59.49</v>
      </c>
      <c r="P32" s="64">
        <f>ROUND(Scores!P32,$C$1)</f>
        <v>42.83</v>
      </c>
      <c r="Q32" s="64">
        <f>ROUND(Scores!Q32,$C$1)</f>
        <v>73.33</v>
      </c>
      <c r="R32" s="64">
        <f>ROUND(Scores!R32,$C$1)</f>
        <v>54.14</v>
      </c>
      <c r="S32" s="64">
        <f>ROUND(Scores!S32,$C$1)</f>
        <v>81.52</v>
      </c>
      <c r="T32" s="64">
        <f>ROUND(Scores!T32,$C$1)</f>
        <v>87.27</v>
      </c>
      <c r="U32" s="64">
        <f>ROUND(Scores!U32,$C$1)</f>
        <v>83.33</v>
      </c>
      <c r="V32" s="64">
        <f>ROUND(Scores!V32,$C$1)</f>
        <v>46.67</v>
      </c>
      <c r="W32" s="64">
        <f>ROUND(Scores!W32,$C$1)</f>
        <v>82.02</v>
      </c>
      <c r="X32" s="64">
        <f>ROUND(Scores!X32,$C$1)</f>
        <v>65.66</v>
      </c>
      <c r="Y32" s="64">
        <f>ROUND(Scores!Y32,$C$1)</f>
        <v>58.59</v>
      </c>
      <c r="Z32" s="64">
        <f>ROUND(Scores!Z32,$C$1)</f>
        <v>69.9</v>
      </c>
      <c r="AA32" s="64">
        <f>ROUND(Scores!AA32,$C$1)</f>
        <v>88.69</v>
      </c>
      <c r="AB32" s="64">
        <f>ROUND(Scores!AB32,$C$1)</f>
        <v>66.97</v>
      </c>
      <c r="AC32" s="64">
        <f>ROUND(Scores!AC32,$C$1)</f>
        <v>81.82</v>
      </c>
      <c r="AD32" s="64">
        <f>ROUND(Scores!AD32,$C$1)</f>
        <v>67.27</v>
      </c>
      <c r="AE32" s="64">
        <f>ROUND(Scores!AE32,$C$1)</f>
        <v>64.14</v>
      </c>
      <c r="AF32" s="64">
        <f>ROUND(Scores!AF32,$C$1)</f>
        <v>72.12</v>
      </c>
      <c r="AG32" s="64">
        <f>ROUND(Scores!AG32,$C$1)</f>
        <v>62.63</v>
      </c>
      <c r="AH32" s="64">
        <f>ROUND(Scores!AH32,$C$1)</f>
        <v>64.14</v>
      </c>
      <c r="AI32" s="64">
        <f>ROUND(Scores!AI32,$C$1)</f>
        <v>54.44</v>
      </c>
      <c r="AJ32" s="64">
        <f>ROUND(Scores!AJ32,$C$1)</f>
        <v>72.12</v>
      </c>
      <c r="AK32" s="64">
        <f>ROUND(Scores!AK32,$C$1)</f>
        <v>64.14</v>
      </c>
      <c r="AL32" s="64">
        <f>ROUND(Scores!AL32,$C$1)</f>
        <v>55.86</v>
      </c>
      <c r="AM32" s="64">
        <f>ROUND(Scores!AM32,$C$1)</f>
        <v>48.69</v>
      </c>
      <c r="AN32" s="64">
        <f>ROUND(Scores!AN32,$C$1)</f>
        <v>45.45</v>
      </c>
      <c r="AO32" s="64">
        <f>ROUND(Scores!AO32,$C$1)</f>
        <v>79.29</v>
      </c>
      <c r="AP32" s="64">
        <f>ROUND(Scores!AP32,$C$1)</f>
        <v>71.01</v>
      </c>
      <c r="AQ32" s="64">
        <f>ROUND(Scores!AQ32,$C$1)</f>
        <v>78.59</v>
      </c>
      <c r="AR32" s="64">
        <f>ROUND(Scores!AR32,$C$1)</f>
        <v>72.93</v>
      </c>
      <c r="AS32" s="64">
        <f>ROUND(Scores!AS32,$C$1)</f>
        <v>62.53</v>
      </c>
      <c r="AT32" s="64">
        <f>ROUND(Scores!AT32,$C$1)</f>
        <v>47.98</v>
      </c>
      <c r="AU32" s="64">
        <f>ROUND(Scores!AU32,$C$1)</f>
        <v>54.75</v>
      </c>
      <c r="AV32" s="64">
        <f>ROUND(Scores!AV32,$C$1)</f>
        <v>58.59</v>
      </c>
      <c r="AW32" s="64">
        <f>ROUND(Scores!AW32,$C$1)</f>
        <v>34.34</v>
      </c>
      <c r="AX32" s="64">
        <f>ROUND(Scores!AX32,$C$1)</f>
        <v>47.47</v>
      </c>
      <c r="AY32" s="64">
        <f>ROUND(Scores!AY32,$C$1)</f>
        <v>60.61</v>
      </c>
      <c r="AZ32" s="64">
        <f>ROUND(Scores!AZ32,$C$1)</f>
        <v>90.4</v>
      </c>
      <c r="BA32" s="64">
        <f>ROUND(Scores!BA32,$C$1)</f>
        <v>85.35</v>
      </c>
      <c r="BB32" s="64">
        <f>ROUND(Scores!BB32,$C$1)</f>
        <v>88.48</v>
      </c>
      <c r="BC32" s="64">
        <f>ROUND(Scores!BC32,$C$1)</f>
        <v>68.48</v>
      </c>
      <c r="BD32" s="64">
        <f>ROUND(Scores!BD32,$C$1)</f>
        <v>68.48</v>
      </c>
      <c r="BE32" s="64">
        <f>ROUND(Scores!BE32,$C$1)</f>
        <v>92.02</v>
      </c>
      <c r="BF32" s="64">
        <f>ROUND(Scores!BF32,$C$1)</f>
        <v>67.09</v>
      </c>
      <c r="BG32" s="64">
        <f>ROUND(Scores!BG32,$C$1)</f>
        <v>85.76</v>
      </c>
      <c r="BH32" s="64">
        <f>ROUND(Scores!BH32,$C$1)</f>
        <v>85.76</v>
      </c>
      <c r="BI32" s="64">
        <f>ROUND(Scores!BI32,$C$1)</f>
        <v>88.69</v>
      </c>
      <c r="BJ32" s="64">
        <f>ROUND(Scores!BJ32,$C$1)</f>
        <v>55.45</v>
      </c>
      <c r="BK32" s="64">
        <f>ROUND(Scores!BK32,$C$1)</f>
        <v>85.66</v>
      </c>
    </row>
    <row r="33" s="22" customFormat="1" spans="1:63">
      <c r="A33" s="24"/>
      <c r="B33" s="24"/>
      <c r="C33" s="24"/>
      <c r="D33" s="52"/>
      <c r="E33" s="52"/>
      <c r="F33" s="52"/>
      <c r="G33" s="52"/>
      <c r="H33" s="52"/>
      <c r="I33" s="52"/>
      <c r="J33" s="52"/>
      <c r="K33" s="54"/>
      <c r="L33" s="62" t="str">
        <f>tblIndicators!Z26</f>
        <v>2.2.3) Life expectancy</v>
      </c>
      <c r="M33" s="63"/>
      <c r="N33" s="64">
        <f>ROUND(Scores!N33,$C$1)</f>
        <v>86.69</v>
      </c>
      <c r="O33" s="64">
        <f>ROUND(Scores!O33,$C$1)</f>
        <v>0</v>
      </c>
      <c r="P33" s="64">
        <f>ROUND(Scores!P33,$C$1)</f>
        <v>63.88</v>
      </c>
      <c r="Q33" s="64">
        <f>ROUND(Scores!Q33,$C$1)</f>
        <v>43.35</v>
      </c>
      <c r="R33" s="64">
        <f>ROUND(Scores!R33,$C$1)</f>
        <v>50</v>
      </c>
      <c r="S33" s="64">
        <f>ROUND(Scores!S33,$C$1)</f>
        <v>78.71</v>
      </c>
      <c r="T33" s="64">
        <f>ROUND(Scores!T33,$C$1)</f>
        <v>77.19</v>
      </c>
      <c r="U33" s="64">
        <f>ROUND(Scores!U33,$C$1)</f>
        <v>79.85</v>
      </c>
      <c r="V33" s="64">
        <f>ROUND(Scores!V33,$C$1)</f>
        <v>82.13</v>
      </c>
      <c r="W33" s="64">
        <f>ROUND(Scores!W33,$C$1)</f>
        <v>69.2</v>
      </c>
      <c r="X33" s="64">
        <f>ROUND(Scores!X33,$C$1)</f>
        <v>65.78</v>
      </c>
      <c r="Y33" s="64">
        <f>ROUND(Scores!Y33,$C$1)</f>
        <v>55.13</v>
      </c>
      <c r="Z33" s="64">
        <f>ROUND(Scores!Z33,$C$1)</f>
        <v>71.63</v>
      </c>
      <c r="AA33" s="64">
        <f>ROUND(Scores!AA33,$C$1)</f>
        <v>80.99</v>
      </c>
      <c r="AB33" s="64">
        <f>ROUND(Scores!AB33,$C$1)</f>
        <v>60.87</v>
      </c>
      <c r="AC33" s="64">
        <f>ROUND(Scores!AC33,$C$1)</f>
        <v>82.89</v>
      </c>
      <c r="AD33" s="64">
        <f>ROUND(Scores!AD33,$C$1)</f>
        <v>100</v>
      </c>
      <c r="AE33" s="64">
        <f>ROUND(Scores!AE33,$C$1)</f>
        <v>92.62</v>
      </c>
      <c r="AF33" s="64">
        <f>ROUND(Scores!AF33,$C$1)</f>
        <v>82.7</v>
      </c>
      <c r="AG33" s="64">
        <f>ROUND(Scores!AG33,$C$1)</f>
        <v>78.56</v>
      </c>
      <c r="AH33" s="64">
        <f>ROUND(Scores!AH33,$C$1)</f>
        <v>59.7</v>
      </c>
      <c r="AI33" s="64">
        <f>ROUND(Scores!AI33,$C$1)</f>
        <v>64.22</v>
      </c>
      <c r="AJ33" s="64">
        <f>ROUND(Scores!AJ33,$C$1)</f>
        <v>73.35</v>
      </c>
      <c r="AK33" s="64">
        <f>ROUND(Scores!AK33,$C$1)</f>
        <v>43.35</v>
      </c>
      <c r="AL33" s="64">
        <f>ROUND(Scores!AL33,$C$1)</f>
        <v>38.02</v>
      </c>
      <c r="AM33" s="64">
        <f>ROUND(Scores!AM33,$C$1)</f>
        <v>51.83</v>
      </c>
      <c r="AN33" s="64">
        <f>ROUND(Scores!AN33,$C$1)</f>
        <v>64.26</v>
      </c>
      <c r="AO33" s="64">
        <f>ROUND(Scores!AO33,$C$1)</f>
        <v>86.92</v>
      </c>
      <c r="AP33" s="64">
        <f>ROUND(Scores!AP33,$C$1)</f>
        <v>89.73</v>
      </c>
      <c r="AQ33" s="64">
        <f>ROUND(Scores!AQ33,$C$1)</f>
        <v>84.41</v>
      </c>
      <c r="AR33" s="64">
        <f>ROUND(Scores!AR33,$C$1)</f>
        <v>89.2</v>
      </c>
      <c r="AS33" s="64">
        <f>ROUND(Scores!AS33,$C$1)</f>
        <v>87.68</v>
      </c>
      <c r="AT33" s="64">
        <f>ROUND(Scores!AT33,$C$1)</f>
        <v>54.37</v>
      </c>
      <c r="AU33" s="64">
        <f>ROUND(Scores!AU33,$C$1)</f>
        <v>49.62</v>
      </c>
      <c r="AV33" s="64">
        <f>ROUND(Scores!AV33,$C$1)</f>
        <v>68.59</v>
      </c>
      <c r="AW33" s="64">
        <f>ROUND(Scores!AW33,$C$1)</f>
        <v>71.03</v>
      </c>
      <c r="AX33" s="64">
        <f>ROUND(Scores!AX33,$C$1)</f>
        <v>58.56</v>
      </c>
      <c r="AY33" s="64">
        <f>ROUND(Scores!AY33,$C$1)</f>
        <v>66.16</v>
      </c>
      <c r="AZ33" s="64">
        <f>ROUND(Scores!AZ33,$C$1)</f>
        <v>79.47</v>
      </c>
      <c r="BA33" s="64">
        <f>ROUND(Scores!BA33,$C$1)</f>
        <v>83.12</v>
      </c>
      <c r="BB33" s="64">
        <f>ROUND(Scores!BB33,$C$1)</f>
        <v>74.75</v>
      </c>
      <c r="BC33" s="64">
        <f>ROUND(Scores!BC33,$C$1)</f>
        <v>86.69</v>
      </c>
      <c r="BD33" s="64">
        <f>ROUND(Scores!BD33,$C$1)</f>
        <v>88.21</v>
      </c>
      <c r="BE33" s="64">
        <f>ROUND(Scores!BE33,$C$1)</f>
        <v>73.16</v>
      </c>
      <c r="BF33" s="64">
        <f>ROUND(Scores!BF33,$C$1)</f>
        <v>60.46</v>
      </c>
      <c r="BG33" s="64">
        <f>ROUND(Scores!BG33,$C$1)</f>
        <v>85.93</v>
      </c>
      <c r="BH33" s="64">
        <f>ROUND(Scores!BH33,$C$1)</f>
        <v>85.93</v>
      </c>
      <c r="BI33" s="64">
        <f>ROUND(Scores!BI33,$C$1)</f>
        <v>90.95</v>
      </c>
      <c r="BJ33" s="64">
        <f>ROUND(Scores!BJ33,$C$1)</f>
        <v>48.67</v>
      </c>
      <c r="BK33" s="64">
        <f>ROUND(Scores!BK33,$C$1)</f>
        <v>83.69</v>
      </c>
    </row>
    <row r="34" s="22" customFormat="1" spans="1:63">
      <c r="A34" s="24"/>
      <c r="B34" s="24"/>
      <c r="C34" s="24"/>
      <c r="D34" s="52"/>
      <c r="E34" s="52"/>
      <c r="F34" s="52"/>
      <c r="G34" s="52"/>
      <c r="H34" s="52"/>
      <c r="I34" s="52"/>
      <c r="J34" s="52"/>
      <c r="K34" s="54"/>
      <c r="L34" s="62" t="str">
        <f>tblIndicators!Z27</f>
        <v>2.2.4) Infant mortality (deaths per 1,000 live births)</v>
      </c>
      <c r="M34" s="63"/>
      <c r="N34" s="64">
        <f>ROUND(Scores!N34,$C$1)</f>
        <v>96.86</v>
      </c>
      <c r="O34" s="64">
        <f>ROUND(Scores!O34,$C$1)</f>
        <v>89.01</v>
      </c>
      <c r="P34" s="64">
        <f>ROUND(Scores!P34,$C$1)</f>
        <v>80.89</v>
      </c>
      <c r="Q34" s="64">
        <f>ROUND(Scores!Q34,$C$1)</f>
        <v>69.63</v>
      </c>
      <c r="R34" s="64">
        <f>ROUND(Scores!R34,$C$1)</f>
        <v>50.05</v>
      </c>
      <c r="S34" s="64">
        <f>ROUND(Scores!S34,$C$1)</f>
        <v>89.79</v>
      </c>
      <c r="T34" s="64">
        <f>ROUND(Scores!T34,$C$1)</f>
        <v>94.5</v>
      </c>
      <c r="U34" s="64">
        <f>ROUND(Scores!U34,$C$1)</f>
        <v>85.34</v>
      </c>
      <c r="V34" s="64">
        <f>ROUND(Scores!V34,$C$1)</f>
        <v>89.27</v>
      </c>
      <c r="W34" s="64">
        <f>ROUND(Scores!W34,$C$1)</f>
        <v>84.29</v>
      </c>
      <c r="X34" s="64">
        <f>ROUND(Scores!X34,$C$1)</f>
        <v>54.97</v>
      </c>
      <c r="Y34" s="64">
        <f>ROUND(Scores!Y34,$C$1)</f>
        <v>75.92</v>
      </c>
      <c r="Z34" s="64">
        <f>ROUND(Scores!Z34,$C$1)</f>
        <v>83.51</v>
      </c>
      <c r="AA34" s="64">
        <f>ROUND(Scores!AA34,$C$1)</f>
        <v>89.79</v>
      </c>
      <c r="AB34" s="64">
        <f>ROUND(Scores!AB34,$C$1)</f>
        <v>88.74</v>
      </c>
      <c r="AC34" s="64">
        <f>ROUND(Scores!AC34,$C$1)</f>
        <v>93.72</v>
      </c>
      <c r="AD34" s="64">
        <f>ROUND(Scores!AD34,$C$1)</f>
        <v>93.46</v>
      </c>
      <c r="AE34" s="64">
        <f>ROUND(Scores!AE34,$C$1)</f>
        <v>98.69</v>
      </c>
      <c r="AF34" s="64">
        <f>ROUND(Scores!AF34,$C$1)</f>
        <v>94.66</v>
      </c>
      <c r="AG34" s="64">
        <f>ROUND(Scores!AG34,$C$1)</f>
        <v>87.17</v>
      </c>
      <c r="AH34" s="64">
        <f>ROUND(Scores!AH34,$C$1)</f>
        <v>70.68</v>
      </c>
      <c r="AI34" s="64">
        <f>ROUND(Scores!AI34,$C$1)</f>
        <v>70.68</v>
      </c>
      <c r="AJ34" s="64">
        <f>ROUND(Scores!AJ34,$C$1)</f>
        <v>70.68</v>
      </c>
      <c r="AK34" s="64">
        <f>ROUND(Scores!AK34,$C$1)</f>
        <v>11.52</v>
      </c>
      <c r="AL34" s="64">
        <f>ROUND(Scores!AL34,$C$1)</f>
        <v>39.45</v>
      </c>
      <c r="AM34" s="64">
        <f>ROUND(Scores!AM34,$C$1)</f>
        <v>65.45</v>
      </c>
      <c r="AN34" s="64">
        <f>ROUND(Scores!AN34,$C$1)</f>
        <v>0</v>
      </c>
      <c r="AO34" s="64">
        <f>ROUND(Scores!AO34,$C$1)</f>
        <v>96.34</v>
      </c>
      <c r="AP34" s="64">
        <f>ROUND(Scores!AP34,$C$1)</f>
        <v>96.6</v>
      </c>
      <c r="AQ34" s="64">
        <f>ROUND(Scores!AQ34,$C$1)</f>
        <v>95.03</v>
      </c>
      <c r="AR34" s="64">
        <f>ROUND(Scores!AR34,$C$1)</f>
        <v>89.61</v>
      </c>
      <c r="AS34" s="64">
        <f>ROUND(Scores!AS34,$C$1)</f>
        <v>92.23</v>
      </c>
      <c r="AT34" s="64">
        <f>ROUND(Scores!AT34,$C$1)</f>
        <v>83.51</v>
      </c>
      <c r="AU34" s="64">
        <f>ROUND(Scores!AU34,$C$1)</f>
        <v>49.11</v>
      </c>
      <c r="AV34" s="64">
        <f>ROUND(Scores!AV34,$C$1)</f>
        <v>82.43</v>
      </c>
      <c r="AW34" s="64">
        <f>ROUND(Scores!AW34,$C$1)</f>
        <v>85.29</v>
      </c>
      <c r="AX34" s="64">
        <f>ROUND(Scores!AX34,$C$1)</f>
        <v>61.23</v>
      </c>
      <c r="AY34" s="64">
        <f>ROUND(Scores!AY34,$C$1)</f>
        <v>85.6</v>
      </c>
      <c r="AZ34" s="64">
        <f>ROUND(Scores!AZ34,$C$1)</f>
        <v>94.76</v>
      </c>
      <c r="BA34" s="64">
        <f>ROUND(Scores!BA34,$C$1)</f>
        <v>93.27</v>
      </c>
      <c r="BB34" s="64">
        <f>ROUND(Scores!BB34,$C$1)</f>
        <v>100</v>
      </c>
      <c r="BC34" s="64">
        <f>ROUND(Scores!BC34,$C$1)</f>
        <v>85.08</v>
      </c>
      <c r="BD34" s="64">
        <f>ROUND(Scores!BD34,$C$1)</f>
        <v>95</v>
      </c>
      <c r="BE34" s="64">
        <f>ROUND(Scores!BE34,$C$1)</f>
        <v>91.1</v>
      </c>
      <c r="BF34" s="64">
        <f>ROUND(Scores!BF34,$C$1)</f>
        <v>82.72</v>
      </c>
      <c r="BG34" s="64">
        <f>ROUND(Scores!BG34,$C$1)</f>
        <v>93.19</v>
      </c>
      <c r="BH34" s="64">
        <f>ROUND(Scores!BH34,$C$1)</f>
        <v>93.38</v>
      </c>
      <c r="BI34" s="64">
        <f>ROUND(Scores!BI34,$C$1)</f>
        <v>90.05</v>
      </c>
      <c r="BJ34" s="64">
        <f>ROUND(Scores!BJ34,$C$1)</f>
        <v>87.7</v>
      </c>
      <c r="BK34" s="64">
        <f>ROUND(Scores!BK34,$C$1)</f>
        <v>90.05</v>
      </c>
    </row>
    <row r="35" s="22" customFormat="1" spans="1:63">
      <c r="A35" s="24"/>
      <c r="B35" s="24"/>
      <c r="C35" s="24"/>
      <c r="D35" s="52"/>
      <c r="E35" s="52"/>
      <c r="F35" s="52"/>
      <c r="G35" s="52"/>
      <c r="H35" s="52"/>
      <c r="I35" s="52"/>
      <c r="J35" s="52"/>
      <c r="K35" s="54"/>
      <c r="L35" s="62" t="str">
        <f>tblIndicators!Z28</f>
        <v>2.2.5) Cancer mortality rate ( Cancer deaths per 100,000)</v>
      </c>
      <c r="M35" s="63"/>
      <c r="N35" s="64">
        <f>ROUND(Scores!N35,$C$1)</f>
        <v>56.01</v>
      </c>
      <c r="O35" s="64">
        <f>ROUND(Scores!O35,$C$1)</f>
        <v>83.78</v>
      </c>
      <c r="P35" s="64">
        <f>ROUND(Scores!P35,$C$1)</f>
        <v>71.93</v>
      </c>
      <c r="Q35" s="64">
        <f>ROUND(Scores!Q35,$C$1)</f>
        <v>74.75</v>
      </c>
      <c r="R35" s="64">
        <f>ROUND(Scores!R35,$C$1)</f>
        <v>74.75</v>
      </c>
      <c r="S35" s="64">
        <f>ROUND(Scores!S35,$C$1)</f>
        <v>12.86</v>
      </c>
      <c r="T35" s="64">
        <f>ROUND(Scores!T35,$C$1)</f>
        <v>59.34</v>
      </c>
      <c r="U35" s="64">
        <f>ROUND(Scores!U35,$C$1)</f>
        <v>64.99</v>
      </c>
      <c r="V35" s="64">
        <f>ROUND(Scores!V35,$C$1)</f>
        <v>59.48</v>
      </c>
      <c r="W35" s="64">
        <f>ROUND(Scores!W35,$C$1)</f>
        <v>54.08</v>
      </c>
      <c r="X35" s="64">
        <f>ROUND(Scores!X35,$C$1)</f>
        <v>83.36</v>
      </c>
      <c r="Y35" s="64">
        <f>ROUND(Scores!Y35,$C$1)</f>
        <v>77.63</v>
      </c>
      <c r="Z35" s="64">
        <f>ROUND(Scores!Z35,$C$1)</f>
        <v>99.97</v>
      </c>
      <c r="AA35" s="64">
        <f>ROUND(Scores!AA35,$C$1)</f>
        <v>100</v>
      </c>
      <c r="AB35" s="64">
        <f>ROUND(Scores!AB35,$C$1)</f>
        <v>51.34</v>
      </c>
      <c r="AC35" s="64">
        <f>ROUND(Scores!AC35,$C$1)</f>
        <v>57.37</v>
      </c>
      <c r="AD35" s="64">
        <f>ROUND(Scores!AD35,$C$1)</f>
        <v>53.66</v>
      </c>
      <c r="AE35" s="64">
        <f>ROUND(Scores!AE35,$C$1)</f>
        <v>73.27</v>
      </c>
      <c r="AF35" s="64">
        <f>ROUND(Scores!AF35,$C$1)</f>
        <v>70.19</v>
      </c>
      <c r="AG35" s="64">
        <f>ROUND(Scores!AG35,$C$1)</f>
        <v>67.51</v>
      </c>
      <c r="AH35" s="64">
        <f>ROUND(Scores!AH35,$C$1)</f>
        <v>70.19</v>
      </c>
      <c r="AI35" s="64">
        <f>ROUND(Scores!AI35,$C$1)</f>
        <v>64.79</v>
      </c>
      <c r="AJ35" s="64">
        <f>ROUND(Scores!AJ35,$C$1)</f>
        <v>70.19</v>
      </c>
      <c r="AK35" s="64">
        <f>ROUND(Scores!AK35,$C$1)</f>
        <v>84.45</v>
      </c>
      <c r="AL35" s="64">
        <f>ROUND(Scores!AL35,$C$1)</f>
        <v>91.05</v>
      </c>
      <c r="AM35" s="64">
        <f>ROUND(Scores!AM35,$C$1)</f>
        <v>78.32</v>
      </c>
      <c r="AN35" s="64">
        <f>ROUND(Scores!AN35,$C$1)</f>
        <v>80.15</v>
      </c>
      <c r="AO35" s="64">
        <f>ROUND(Scores!AO35,$C$1)</f>
        <v>37.37</v>
      </c>
      <c r="AP35" s="64">
        <f>ROUND(Scores!AP35,$C$1)</f>
        <v>28.44</v>
      </c>
      <c r="AQ35" s="64">
        <f>ROUND(Scores!AQ35,$C$1)</f>
        <v>78.02</v>
      </c>
      <c r="AR35" s="64">
        <f>ROUND(Scores!AR35,$C$1)</f>
        <v>70.83</v>
      </c>
      <c r="AS35" s="64">
        <f>ROUND(Scores!AS35,$C$1)</f>
        <v>52.67</v>
      </c>
      <c r="AT35" s="64">
        <f>ROUND(Scores!AT35,$C$1)</f>
        <v>64.52</v>
      </c>
      <c r="AU35" s="64">
        <f>ROUND(Scores!AU35,$C$1)</f>
        <v>73.53</v>
      </c>
      <c r="AV35" s="64">
        <f>ROUND(Scores!AV35,$C$1)</f>
        <v>86.86</v>
      </c>
      <c r="AW35" s="64">
        <f>ROUND(Scores!AW35,$C$1)</f>
        <v>83.24</v>
      </c>
      <c r="AX35" s="64">
        <f>ROUND(Scores!AX35,$C$1)</f>
        <v>87.09</v>
      </c>
      <c r="AY35" s="64">
        <f>ROUND(Scores!AY35,$C$1)</f>
        <v>0</v>
      </c>
      <c r="AZ35" s="64">
        <f>ROUND(Scores!AZ35,$C$1)</f>
        <v>43.15</v>
      </c>
      <c r="BA35" s="64">
        <f>ROUND(Scores!BA35,$C$1)</f>
        <v>56.63</v>
      </c>
      <c r="BB35" s="64">
        <f>ROUND(Scores!BB35,$C$1)</f>
        <v>75.47</v>
      </c>
      <c r="BC35" s="64">
        <f>ROUND(Scores!BC35,$C$1)</f>
        <v>67.26</v>
      </c>
      <c r="BD35" s="64">
        <f>ROUND(Scores!BD35,$C$1)</f>
        <v>66.56</v>
      </c>
      <c r="BE35" s="64">
        <f>ROUND(Scores!BE35,$C$1)</f>
        <v>51.1</v>
      </c>
      <c r="BF35" s="64">
        <f>ROUND(Scores!BF35,$C$1)</f>
        <v>70.1</v>
      </c>
      <c r="BG35" s="64">
        <f>ROUND(Scores!BG35,$C$1)</f>
        <v>76.15</v>
      </c>
      <c r="BH35" s="64">
        <f>ROUND(Scores!BH35,$C$1)</f>
        <v>76.15</v>
      </c>
      <c r="BI35" s="64">
        <f>ROUND(Scores!BI35,$C$1)</f>
        <v>77.53</v>
      </c>
      <c r="BJ35" s="64">
        <f>ROUND(Scores!BJ35,$C$1)</f>
        <v>68.54</v>
      </c>
      <c r="BK35" s="64">
        <f>ROUND(Scores!BK35,$C$1)</f>
        <v>58.01</v>
      </c>
    </row>
    <row r="36" spans="1:63">
      <c r="A36" s="24"/>
      <c r="B36" s="24"/>
      <c r="C36" s="24"/>
      <c r="D36" s="52"/>
      <c r="E36" s="52"/>
      <c r="F36" s="52"/>
      <c r="G36" s="52"/>
      <c r="H36" s="52"/>
      <c r="I36" s="52"/>
      <c r="J36" s="52"/>
      <c r="K36" s="54"/>
      <c r="L36" s="55" t="str">
        <f>tblIndicators!Z29</f>
        <v>3) INFRASTRUCTURE SAFETY</v>
      </c>
      <c r="M36" s="56"/>
      <c r="N36" s="57">
        <f>ROUND(Scores!N36,$C$1)</f>
        <v>81.92</v>
      </c>
      <c r="O36" s="57">
        <f>ROUND(Scores!O36,$C$1)</f>
        <v>60.67</v>
      </c>
      <c r="P36" s="57">
        <f>ROUND(Scores!P36,$C$1)</f>
        <v>77.03</v>
      </c>
      <c r="Q36" s="57">
        <f>ROUND(Scores!Q36,$C$1)</f>
        <v>76.41</v>
      </c>
      <c r="R36" s="57">
        <f>ROUND(Scores!R36,$C$1)</f>
        <v>74.4</v>
      </c>
      <c r="S36" s="57">
        <f>ROUND(Scores!S36,$C$1)</f>
        <v>83.72</v>
      </c>
      <c r="T36" s="57">
        <f>ROUND(Scores!T36,$C$1)</f>
        <v>86.16</v>
      </c>
      <c r="U36" s="57">
        <f>ROUND(Scores!U36,$C$1)</f>
        <v>87.57</v>
      </c>
      <c r="V36" s="57">
        <f>ROUND(Scores!V36,$C$1)</f>
        <v>89.47</v>
      </c>
      <c r="W36" s="57">
        <f>ROUND(Scores!W36,$C$1)</f>
        <v>85.69</v>
      </c>
      <c r="X36" s="57">
        <f>ROUND(Scores!X36,$C$1)</f>
        <v>52.93</v>
      </c>
      <c r="Y36" s="57">
        <f>ROUND(Scores!Y36,$C$1)</f>
        <v>75.69</v>
      </c>
      <c r="Z36" s="57">
        <f>ROUND(Scores!Z36,$C$1)</f>
        <v>78.83</v>
      </c>
      <c r="AA36" s="57">
        <f>ROUND(Scores!AA36,$C$1)</f>
        <v>84.93</v>
      </c>
      <c r="AB36" s="57">
        <f>ROUND(Scores!AB36,$C$1)</f>
        <v>77</v>
      </c>
      <c r="AC36" s="57">
        <f>ROUND(Scores!AC36,$C$1)</f>
        <v>91.4</v>
      </c>
      <c r="AD36" s="57">
        <f>ROUND(Scores!AD36,$C$1)</f>
        <v>92.28</v>
      </c>
      <c r="AE36" s="57">
        <f>ROUND(Scores!AE36,$C$1)</f>
        <v>71.46</v>
      </c>
      <c r="AF36" s="57">
        <f>ROUND(Scores!AF36,$C$1)</f>
        <v>76.54</v>
      </c>
      <c r="AG36" s="57">
        <f>ROUND(Scores!AG36,$C$1)</f>
        <v>76.63</v>
      </c>
      <c r="AH36" s="57">
        <f>ROUND(Scores!AH36,$C$1)</f>
        <v>76.5</v>
      </c>
      <c r="AI36" s="57">
        <f>ROUND(Scores!AI36,$C$1)</f>
        <v>76.57</v>
      </c>
      <c r="AJ36" s="57">
        <f>ROUND(Scores!AJ36,$C$1)</f>
        <v>76.53</v>
      </c>
      <c r="AK36" s="57">
        <f>ROUND(Scores!AK36,$C$1)</f>
        <v>55.89</v>
      </c>
      <c r="AL36" s="57">
        <f>ROUND(Scores!AL36,$C$1)</f>
        <v>57.71</v>
      </c>
      <c r="AM36" s="57">
        <f>ROUND(Scores!AM36,$C$1)</f>
        <v>54.02</v>
      </c>
      <c r="AN36" s="57">
        <f>ROUND(Scores!AN36,$C$1)</f>
        <v>63.98</v>
      </c>
      <c r="AO36" s="57">
        <f>ROUND(Scores!AO36,$C$1)</f>
        <v>89.79</v>
      </c>
      <c r="AP36" s="57">
        <f>ROUND(Scores!AP36,$C$1)</f>
        <v>85.71</v>
      </c>
      <c r="AQ36" s="57">
        <f>ROUND(Scores!AQ36,$C$1)</f>
        <v>88.86</v>
      </c>
      <c r="AR36" s="57">
        <f>ROUND(Scores!AR36,$C$1)</f>
        <v>85.64</v>
      </c>
      <c r="AS36" s="57">
        <f>ROUND(Scores!AS36,$C$1)</f>
        <v>79.25</v>
      </c>
      <c r="AT36" s="57">
        <f>ROUND(Scores!AT36,$C$1)</f>
        <v>66.44</v>
      </c>
      <c r="AU36" s="57">
        <f>ROUND(Scores!AU36,$C$1)</f>
        <v>52.41</v>
      </c>
      <c r="AV36" s="57">
        <f>ROUND(Scores!AV36,$C$1)</f>
        <v>73.4</v>
      </c>
      <c r="AW36" s="57">
        <f>ROUND(Scores!AW36,$C$1)</f>
        <v>76.34</v>
      </c>
      <c r="AX36" s="57">
        <f>ROUND(Scores!AX36,$C$1)</f>
        <v>61.53</v>
      </c>
      <c r="AY36" s="57">
        <f>ROUND(Scores!AY36,$C$1)</f>
        <v>86.16</v>
      </c>
      <c r="AZ36" s="57">
        <f>ROUND(Scores!AZ36,$C$1)</f>
        <v>84.34</v>
      </c>
      <c r="BA36" s="57">
        <f>ROUND(Scores!BA36,$C$1)</f>
        <v>78.22</v>
      </c>
      <c r="BB36" s="57">
        <f>ROUND(Scores!BB36,$C$1)</f>
        <v>82.79</v>
      </c>
      <c r="BC36" s="57">
        <f>ROUND(Scores!BC36,$C$1)</f>
        <v>83.77</v>
      </c>
      <c r="BD36" s="57">
        <f>ROUND(Scores!BD36,$C$1)</f>
        <v>78.91</v>
      </c>
      <c r="BE36" s="57">
        <f>ROUND(Scores!BE36,$C$1)</f>
        <v>91.27</v>
      </c>
      <c r="BF36" s="57">
        <f>ROUND(Scores!BF36,$C$1)</f>
        <v>70.65</v>
      </c>
      <c r="BG36" s="57">
        <f>ROUND(Scores!BG36,$C$1)</f>
        <v>87.28</v>
      </c>
      <c r="BH36" s="57">
        <f>ROUND(Scores!BH36,$C$1)</f>
        <v>85.65</v>
      </c>
      <c r="BI36" s="57">
        <f>ROUND(Scores!BI36,$C$1)</f>
        <v>92.63</v>
      </c>
      <c r="BJ36" s="57">
        <f>ROUND(Scores!BJ36,$C$1)</f>
        <v>77.71</v>
      </c>
      <c r="BK36" s="57">
        <f>ROUND(Scores!BK36,$C$1)</f>
        <v>78.78</v>
      </c>
    </row>
    <row r="37" s="21" customFormat="1" spans="1:63">
      <c r="A37" s="30"/>
      <c r="B37" s="30"/>
      <c r="C37" s="30"/>
      <c r="D37" s="53"/>
      <c r="E37" s="53"/>
      <c r="F37" s="53"/>
      <c r="G37" s="53"/>
      <c r="H37" s="53"/>
      <c r="I37" s="53"/>
      <c r="J37" s="53"/>
      <c r="K37" s="58"/>
      <c r="L37" s="59" t="str">
        <f>tblIndicators!Z30</f>
        <v>3.1) Infrastructure Safety (Inputs)</v>
      </c>
      <c r="M37" s="60"/>
      <c r="N37" s="61">
        <f>ROUND(Scores!N37,$C$1)</f>
        <v>72.52</v>
      </c>
      <c r="O37" s="61">
        <f>ROUND(Scores!O37,$C$1)</f>
        <v>56</v>
      </c>
      <c r="P37" s="61">
        <f>ROUND(Scores!P37,$C$1)</f>
        <v>87</v>
      </c>
      <c r="Q37" s="61">
        <f>ROUND(Scores!Q37,$C$1)</f>
        <v>77.5</v>
      </c>
      <c r="R37" s="61">
        <f>ROUND(Scores!R37,$C$1)</f>
        <v>72.5</v>
      </c>
      <c r="S37" s="61">
        <f>ROUND(Scores!S37,$C$1)</f>
        <v>85</v>
      </c>
      <c r="T37" s="61">
        <f>ROUND(Scores!T37,$C$1)</f>
        <v>90</v>
      </c>
      <c r="U37" s="61">
        <f>ROUND(Scores!U37,$C$1)</f>
        <v>90</v>
      </c>
      <c r="V37" s="61">
        <f>ROUND(Scores!V37,$C$1)</f>
        <v>90</v>
      </c>
      <c r="W37" s="61">
        <f>ROUND(Scores!W37,$C$1)</f>
        <v>90</v>
      </c>
      <c r="X37" s="61">
        <f>ROUND(Scores!X37,$C$1)</f>
        <v>65</v>
      </c>
      <c r="Y37" s="61">
        <f>ROUND(Scores!Y37,$C$1)</f>
        <v>83.5</v>
      </c>
      <c r="Z37" s="61">
        <f>ROUND(Scores!Z37,$C$1)</f>
        <v>71</v>
      </c>
      <c r="AA37" s="61">
        <f>ROUND(Scores!AA37,$C$1)</f>
        <v>90</v>
      </c>
      <c r="AB37" s="61">
        <f>ROUND(Scores!AB37,$C$1)</f>
        <v>90</v>
      </c>
      <c r="AC37" s="61">
        <f>ROUND(Scores!AC37,$C$1)</f>
        <v>95.5</v>
      </c>
      <c r="AD37" s="61">
        <f>ROUND(Scores!AD37,$C$1)</f>
        <v>95.5</v>
      </c>
      <c r="AE37" s="61">
        <f>ROUND(Scores!AE37,$C$1)</f>
        <v>80</v>
      </c>
      <c r="AF37" s="61">
        <f>ROUND(Scores!AF37,$C$1)</f>
        <v>73.5</v>
      </c>
      <c r="AG37" s="61">
        <f>ROUND(Scores!AG37,$C$1)</f>
        <v>73.5</v>
      </c>
      <c r="AH37" s="61">
        <f>ROUND(Scores!AH37,$C$1)</f>
        <v>73.5</v>
      </c>
      <c r="AI37" s="61">
        <f>ROUND(Scores!AI37,$C$1)</f>
        <v>73.5</v>
      </c>
      <c r="AJ37" s="61">
        <f>ROUND(Scores!AJ37,$C$1)</f>
        <v>73.5</v>
      </c>
      <c r="AK37" s="61">
        <f>ROUND(Scores!AK37,$C$1)</f>
        <v>32.5</v>
      </c>
      <c r="AL37" s="61">
        <f>ROUND(Scores!AL37,$C$1)</f>
        <v>37.5</v>
      </c>
      <c r="AM37" s="61">
        <f>ROUND(Scores!AM37,$C$1)</f>
        <v>50</v>
      </c>
      <c r="AN37" s="61">
        <f>ROUND(Scores!AN37,$C$1)</f>
        <v>43.5</v>
      </c>
      <c r="AO37" s="61">
        <f>ROUND(Scores!AO37,$C$1)</f>
        <v>95.5</v>
      </c>
      <c r="AP37" s="61">
        <f>ROUND(Scores!AP37,$C$1)</f>
        <v>95.5</v>
      </c>
      <c r="AQ37" s="61">
        <f>ROUND(Scores!AQ37,$C$1)</f>
        <v>96.5</v>
      </c>
      <c r="AR37" s="61">
        <f>ROUND(Scores!AR37,$C$1)</f>
        <v>84.5</v>
      </c>
      <c r="AS37" s="61">
        <f>ROUND(Scores!AS37,$C$1)</f>
        <v>65</v>
      </c>
      <c r="AT37" s="61">
        <f>ROUND(Scores!AT37,$C$1)</f>
        <v>55</v>
      </c>
      <c r="AU37" s="61">
        <f>ROUND(Scores!AU37,$C$1)</f>
        <v>30</v>
      </c>
      <c r="AV37" s="61">
        <f>ROUND(Scores!AV37,$C$1)</f>
        <v>61</v>
      </c>
      <c r="AW37" s="61">
        <f>ROUND(Scores!AW37,$C$1)</f>
        <v>69</v>
      </c>
      <c r="AX37" s="61">
        <f>ROUND(Scores!AX37,$C$1)</f>
        <v>53.5</v>
      </c>
      <c r="AY37" s="61">
        <f>ROUND(Scores!AY37,$C$1)</f>
        <v>86.5</v>
      </c>
      <c r="AZ37" s="61">
        <f>ROUND(Scores!AZ37,$C$1)</f>
        <v>87</v>
      </c>
      <c r="BA37" s="61">
        <f>ROUND(Scores!BA37,$C$1)</f>
        <v>77.5</v>
      </c>
      <c r="BB37" s="61">
        <f>ROUND(Scores!BB37,$C$1)</f>
        <v>95.5</v>
      </c>
      <c r="BC37" s="61">
        <f>ROUND(Scores!BC37,$C$1)</f>
        <v>93.5</v>
      </c>
      <c r="BD37" s="61">
        <f>ROUND(Scores!BD37,$C$1)</f>
        <v>88.5</v>
      </c>
      <c r="BE37" s="61">
        <f>ROUND(Scores!BE37,$C$1)</f>
        <v>94</v>
      </c>
      <c r="BF37" s="61">
        <f>ROUND(Scores!BF37,$C$1)</f>
        <v>77</v>
      </c>
      <c r="BG37" s="61">
        <f>ROUND(Scores!BG37,$C$1)</f>
        <v>94.5</v>
      </c>
      <c r="BH37" s="61">
        <f>ROUND(Scores!BH37,$C$1)</f>
        <v>94.5</v>
      </c>
      <c r="BI37" s="61">
        <f>ROUND(Scores!BI37,$C$1)</f>
        <v>94</v>
      </c>
      <c r="BJ37" s="61">
        <f>ROUND(Scores!BJ37,$C$1)</f>
        <v>76</v>
      </c>
      <c r="BK37" s="61">
        <f>ROUND(Scores!BK37,$C$1)</f>
        <v>75.75</v>
      </c>
    </row>
    <row r="38" s="22" customFormat="1" spans="1:63">
      <c r="A38" s="24"/>
      <c r="B38" s="24"/>
      <c r="C38" s="24"/>
      <c r="D38" s="52"/>
      <c r="E38" s="52"/>
      <c r="F38" s="52"/>
      <c r="G38" s="52"/>
      <c r="H38" s="52"/>
      <c r="I38" s="52"/>
      <c r="J38" s="52"/>
      <c r="K38" s="54"/>
      <c r="L38" s="62" t="str">
        <f>tblIndicators!Z31</f>
        <v>3.1.1) Enforcement of transport safety</v>
      </c>
      <c r="M38" s="63"/>
      <c r="N38" s="64">
        <f>ROUND(Scores!N38,$C$1)</f>
        <v>62.6</v>
      </c>
      <c r="O38" s="64">
        <f>ROUND(Scores!O38,$C$1)</f>
        <v>30</v>
      </c>
      <c r="P38" s="64">
        <f>ROUND(Scores!P38,$C$1)</f>
        <v>60</v>
      </c>
      <c r="Q38" s="64">
        <f>ROUND(Scores!Q38,$C$1)</f>
        <v>62.5</v>
      </c>
      <c r="R38" s="64">
        <f>ROUND(Scores!R38,$C$1)</f>
        <v>62.5</v>
      </c>
      <c r="S38" s="64">
        <f>ROUND(Scores!S38,$C$1)</f>
        <v>75</v>
      </c>
      <c r="T38" s="64">
        <f>ROUND(Scores!T38,$C$1)</f>
        <v>75</v>
      </c>
      <c r="U38" s="64">
        <f>ROUND(Scores!U38,$C$1)</f>
        <v>75</v>
      </c>
      <c r="V38" s="64">
        <f>ROUND(Scores!V38,$C$1)</f>
        <v>75</v>
      </c>
      <c r="W38" s="64">
        <f>ROUND(Scores!W38,$C$1)</f>
        <v>75</v>
      </c>
      <c r="X38" s="64">
        <f>ROUND(Scores!X38,$C$1)</f>
        <v>50</v>
      </c>
      <c r="Y38" s="64">
        <f>ROUND(Scores!Y38,$C$1)</f>
        <v>42.5</v>
      </c>
      <c r="Z38" s="64">
        <f>ROUND(Scores!Z38,$C$1)</f>
        <v>55</v>
      </c>
      <c r="AA38" s="64">
        <f>ROUND(Scores!AA38,$C$1)</f>
        <v>75</v>
      </c>
      <c r="AB38" s="64">
        <f>ROUND(Scores!AB38,$C$1)</f>
        <v>75</v>
      </c>
      <c r="AC38" s="64">
        <f>ROUND(Scores!AC38,$C$1)</f>
        <v>77.5</v>
      </c>
      <c r="AD38" s="64">
        <f>ROUND(Scores!AD38,$C$1)</f>
        <v>77.5</v>
      </c>
      <c r="AE38" s="64">
        <f>ROUND(Scores!AE38,$C$1)</f>
        <v>0</v>
      </c>
      <c r="AF38" s="64">
        <f>ROUND(Scores!AF38,$C$1)</f>
        <v>42.5</v>
      </c>
      <c r="AG38" s="64">
        <f>ROUND(Scores!AG38,$C$1)</f>
        <v>42.5</v>
      </c>
      <c r="AH38" s="64">
        <f>ROUND(Scores!AH38,$C$1)</f>
        <v>42.5</v>
      </c>
      <c r="AI38" s="64">
        <f>ROUND(Scores!AI38,$C$1)</f>
        <v>42.5</v>
      </c>
      <c r="AJ38" s="64">
        <f>ROUND(Scores!AJ38,$C$1)</f>
        <v>42.5</v>
      </c>
      <c r="AK38" s="64">
        <f>ROUND(Scores!AK38,$C$1)</f>
        <v>25</v>
      </c>
      <c r="AL38" s="64">
        <f>ROUND(Scores!AL38,$C$1)</f>
        <v>25</v>
      </c>
      <c r="AM38" s="64">
        <f>ROUND(Scores!AM38,$C$1)</f>
        <v>62.5</v>
      </c>
      <c r="AN38" s="64">
        <f>ROUND(Scores!AN38,$C$1)</f>
        <v>55</v>
      </c>
      <c r="AO38" s="64">
        <f>ROUND(Scores!AO38,$C$1)</f>
        <v>77.5</v>
      </c>
      <c r="AP38" s="64">
        <f>ROUND(Scores!AP38,$C$1)</f>
        <v>77.5</v>
      </c>
      <c r="AQ38" s="64">
        <f>ROUND(Scores!AQ38,$C$1)</f>
        <v>82.5</v>
      </c>
      <c r="AR38" s="64">
        <f>ROUND(Scores!AR38,$C$1)</f>
        <v>72.5</v>
      </c>
      <c r="AS38" s="64">
        <f>ROUND(Scores!AS38,$C$1)</f>
        <v>0</v>
      </c>
      <c r="AT38" s="64">
        <f>ROUND(Scores!AT38,$C$1)</f>
        <v>50</v>
      </c>
      <c r="AU38" s="64">
        <f>ROUND(Scores!AU38,$C$1)</f>
        <v>0</v>
      </c>
      <c r="AV38" s="64">
        <f>ROUND(Scores!AV38,$C$1)</f>
        <v>30</v>
      </c>
      <c r="AW38" s="64">
        <f>ROUND(Scores!AW38,$C$1)</f>
        <v>70</v>
      </c>
      <c r="AX38" s="64">
        <f>ROUND(Scores!AX38,$C$1)</f>
        <v>67.5</v>
      </c>
      <c r="AY38" s="64">
        <f>ROUND(Scores!AY38,$C$1)</f>
        <v>82.5</v>
      </c>
      <c r="AZ38" s="64">
        <f>ROUND(Scores!AZ38,$C$1)</f>
        <v>60</v>
      </c>
      <c r="BA38" s="64">
        <f>ROUND(Scores!BA38,$C$1)</f>
        <v>87.5</v>
      </c>
      <c r="BB38" s="64">
        <f>ROUND(Scores!BB38,$C$1)</f>
        <v>77.5</v>
      </c>
      <c r="BC38" s="64">
        <f>ROUND(Scores!BC38,$C$1)</f>
        <v>67.5</v>
      </c>
      <c r="BD38" s="64">
        <f>ROUND(Scores!BD38,$C$1)</f>
        <v>67.5</v>
      </c>
      <c r="BE38" s="64">
        <f>ROUND(Scores!BE38,$C$1)</f>
        <v>70</v>
      </c>
      <c r="BF38" s="64">
        <f>ROUND(Scores!BF38,$C$1)</f>
        <v>60</v>
      </c>
      <c r="BG38" s="64">
        <f>ROUND(Scores!BG38,$C$1)</f>
        <v>72.5</v>
      </c>
      <c r="BH38" s="64">
        <f>ROUND(Scores!BH38,$C$1)</f>
        <v>72.5</v>
      </c>
      <c r="BI38" s="64">
        <f>ROUND(Scores!BI38,$C$1)</f>
        <v>70</v>
      </c>
      <c r="BJ38" s="64">
        <f>ROUND(Scores!BJ38,$C$1)</f>
        <v>80</v>
      </c>
      <c r="BK38" s="64">
        <f>ROUND(Scores!BK38,$C$1)</f>
        <v>78.75</v>
      </c>
    </row>
    <row r="39" s="22" customFormat="1" spans="1:63">
      <c r="A39" s="24"/>
      <c r="B39" s="24"/>
      <c r="C39" s="24"/>
      <c r="D39" s="52"/>
      <c r="E39" s="52"/>
      <c r="F39" s="52"/>
      <c r="G39" s="52"/>
      <c r="H39" s="52"/>
      <c r="I39" s="52"/>
      <c r="J39" s="52"/>
      <c r="K39" s="54"/>
      <c r="L39" s="62" t="str">
        <f>tblIndicators!Z32</f>
        <v>3.1.2) Pedestrian friendliness</v>
      </c>
      <c r="M39" s="63"/>
      <c r="N39" s="64">
        <f>ROUND(Scores!N39,$C$1)</f>
        <v>100</v>
      </c>
      <c r="O39" s="64">
        <f>ROUND(Scores!O39,$C$1)</f>
        <v>100</v>
      </c>
      <c r="P39" s="64">
        <f>ROUND(Scores!P39,$C$1)</f>
        <v>100</v>
      </c>
      <c r="Q39" s="64">
        <f>ROUND(Scores!Q39,$C$1)</f>
        <v>100</v>
      </c>
      <c r="R39" s="64">
        <f>ROUND(Scores!R39,$C$1)</f>
        <v>100</v>
      </c>
      <c r="S39" s="64">
        <f>ROUND(Scores!S39,$C$1)</f>
        <v>100</v>
      </c>
      <c r="T39" s="64">
        <f>ROUND(Scores!T39,$C$1)</f>
        <v>100</v>
      </c>
      <c r="U39" s="64">
        <f>ROUND(Scores!U39,$C$1)</f>
        <v>100</v>
      </c>
      <c r="V39" s="64">
        <f>ROUND(Scores!V39,$C$1)</f>
        <v>100</v>
      </c>
      <c r="W39" s="64">
        <f>ROUND(Scores!W39,$C$1)</f>
        <v>100</v>
      </c>
      <c r="X39" s="64">
        <f>ROUND(Scores!X39,$C$1)</f>
        <v>100</v>
      </c>
      <c r="Y39" s="64">
        <f>ROUND(Scores!Y39,$C$1)</f>
        <v>100</v>
      </c>
      <c r="Z39" s="64">
        <f>ROUND(Scores!Z39,$C$1)</f>
        <v>25</v>
      </c>
      <c r="AA39" s="64">
        <f>ROUND(Scores!AA39,$C$1)</f>
        <v>100</v>
      </c>
      <c r="AB39" s="64">
        <f>ROUND(Scores!AB39,$C$1)</f>
        <v>100</v>
      </c>
      <c r="AC39" s="64">
        <f>ROUND(Scores!AC39,$C$1)</f>
        <v>100</v>
      </c>
      <c r="AD39" s="64">
        <f>ROUND(Scores!AD39,$C$1)</f>
        <v>100</v>
      </c>
      <c r="AE39" s="64">
        <f>ROUND(Scores!AE39,$C$1)</f>
        <v>100</v>
      </c>
      <c r="AF39" s="64">
        <f>ROUND(Scores!AF39,$C$1)</f>
        <v>100</v>
      </c>
      <c r="AG39" s="64">
        <f>ROUND(Scores!AG39,$C$1)</f>
        <v>100</v>
      </c>
      <c r="AH39" s="64">
        <f>ROUND(Scores!AH39,$C$1)</f>
        <v>100</v>
      </c>
      <c r="AI39" s="64">
        <f>ROUND(Scores!AI39,$C$1)</f>
        <v>100</v>
      </c>
      <c r="AJ39" s="64">
        <f>ROUND(Scores!AJ39,$C$1)</f>
        <v>100</v>
      </c>
      <c r="AK39" s="64">
        <f>ROUND(Scores!AK39,$C$1)</f>
        <v>37.5</v>
      </c>
      <c r="AL39" s="64">
        <f>ROUND(Scores!AL39,$C$1)</f>
        <v>37.5</v>
      </c>
      <c r="AM39" s="64">
        <f>ROUND(Scores!AM39,$C$1)</f>
        <v>37.5</v>
      </c>
      <c r="AN39" s="64">
        <f>ROUND(Scores!AN39,$C$1)</f>
        <v>37.5</v>
      </c>
      <c r="AO39" s="64">
        <f>ROUND(Scores!AO39,$C$1)</f>
        <v>100</v>
      </c>
      <c r="AP39" s="64">
        <f>ROUND(Scores!AP39,$C$1)</f>
        <v>100</v>
      </c>
      <c r="AQ39" s="64">
        <f>ROUND(Scores!AQ39,$C$1)</f>
        <v>100</v>
      </c>
      <c r="AR39" s="64">
        <f>ROUND(Scores!AR39,$C$1)</f>
        <v>100</v>
      </c>
      <c r="AS39" s="64">
        <f>ROUND(Scores!AS39,$C$1)</f>
        <v>100</v>
      </c>
      <c r="AT39" s="64">
        <f>ROUND(Scores!AT39,$C$1)</f>
        <v>25</v>
      </c>
      <c r="AU39" s="64">
        <f>ROUND(Scores!AU39,$C$1)</f>
        <v>25</v>
      </c>
      <c r="AV39" s="64">
        <f>ROUND(Scores!AV39,$C$1)</f>
        <v>25</v>
      </c>
      <c r="AW39" s="64">
        <f>ROUND(Scores!AW39,$C$1)</f>
        <v>25</v>
      </c>
      <c r="AX39" s="64">
        <f>ROUND(Scores!AX39,$C$1)</f>
        <v>25</v>
      </c>
      <c r="AY39" s="64">
        <f>ROUND(Scores!AY39,$C$1)</f>
        <v>100</v>
      </c>
      <c r="AZ39" s="64">
        <f>ROUND(Scores!AZ39,$C$1)</f>
        <v>100</v>
      </c>
      <c r="BA39" s="64">
        <f>ROUND(Scores!BA39,$C$1)</f>
        <v>25</v>
      </c>
      <c r="BB39" s="64">
        <f>ROUND(Scores!BB39,$C$1)</f>
        <v>100</v>
      </c>
      <c r="BC39" s="64">
        <f>ROUND(Scores!BC39,$C$1)</f>
        <v>100</v>
      </c>
      <c r="BD39" s="64">
        <f>ROUND(Scores!BD39,$C$1)</f>
        <v>100</v>
      </c>
      <c r="BE39" s="64">
        <f>ROUND(Scores!BE39,$C$1)</f>
        <v>100</v>
      </c>
      <c r="BF39" s="64">
        <f>ROUND(Scores!BF39,$C$1)</f>
        <v>100</v>
      </c>
      <c r="BG39" s="64">
        <f>ROUND(Scores!BG39,$C$1)</f>
        <v>100</v>
      </c>
      <c r="BH39" s="64">
        <f>ROUND(Scores!BH39,$C$1)</f>
        <v>100</v>
      </c>
      <c r="BI39" s="64">
        <f>ROUND(Scores!BI39,$C$1)</f>
        <v>100</v>
      </c>
      <c r="BJ39" s="64">
        <f>ROUND(Scores!BJ39,$C$1)</f>
        <v>100</v>
      </c>
      <c r="BK39" s="64">
        <f>ROUND(Scores!BK39,$C$1)</f>
        <v>25</v>
      </c>
    </row>
    <row r="40" s="22" customFormat="1" spans="1:63">
      <c r="A40" s="24"/>
      <c r="B40" s="24"/>
      <c r="C40" s="24"/>
      <c r="D40" s="52"/>
      <c r="E40" s="52"/>
      <c r="F40" s="52"/>
      <c r="G40" s="52"/>
      <c r="H40" s="52"/>
      <c r="I40" s="52"/>
      <c r="J40" s="52"/>
      <c r="K40" s="54"/>
      <c r="L40" s="62" t="str">
        <f>tblIndicators!Z33</f>
        <v>3.1.3) Quality of road infrastructure</v>
      </c>
      <c r="M40" s="63"/>
      <c r="N40" s="64">
        <f>ROUND(Scores!N40,$C$1)</f>
        <v>25</v>
      </c>
      <c r="O40" s="64">
        <f>ROUND(Scores!O40,$C$1)</f>
        <v>50</v>
      </c>
      <c r="P40" s="64">
        <f>ROUND(Scores!P40,$C$1)</f>
        <v>75</v>
      </c>
      <c r="Q40" s="64">
        <f>ROUND(Scores!Q40,$C$1)</f>
        <v>75</v>
      </c>
      <c r="R40" s="64">
        <f>ROUND(Scores!R40,$C$1)</f>
        <v>50</v>
      </c>
      <c r="S40" s="64">
        <f>ROUND(Scores!S40,$C$1)</f>
        <v>75</v>
      </c>
      <c r="T40" s="64">
        <f>ROUND(Scores!T40,$C$1)</f>
        <v>75</v>
      </c>
      <c r="U40" s="64">
        <f>ROUND(Scores!U40,$C$1)</f>
        <v>75</v>
      </c>
      <c r="V40" s="64">
        <f>ROUND(Scores!V40,$C$1)</f>
        <v>75</v>
      </c>
      <c r="W40" s="64">
        <f>ROUND(Scores!W40,$C$1)</f>
        <v>75</v>
      </c>
      <c r="X40" s="64">
        <f>ROUND(Scores!X40,$C$1)</f>
        <v>50</v>
      </c>
      <c r="Y40" s="64">
        <f>ROUND(Scores!Y40,$C$1)</f>
        <v>75</v>
      </c>
      <c r="Z40" s="64">
        <f>ROUND(Scores!Z40,$C$1)</f>
        <v>75</v>
      </c>
      <c r="AA40" s="64">
        <f>ROUND(Scores!AA40,$C$1)</f>
        <v>75</v>
      </c>
      <c r="AB40" s="64">
        <f>ROUND(Scores!AB40,$C$1)</f>
        <v>75</v>
      </c>
      <c r="AC40" s="64">
        <f>ROUND(Scores!AC40,$C$1)</f>
        <v>100</v>
      </c>
      <c r="AD40" s="64">
        <f>ROUND(Scores!AD40,$C$1)</f>
        <v>100</v>
      </c>
      <c r="AE40" s="64">
        <f>ROUND(Scores!AE40,$C$1)</f>
        <v>100</v>
      </c>
      <c r="AF40" s="64">
        <f>ROUND(Scores!AF40,$C$1)</f>
        <v>75</v>
      </c>
      <c r="AG40" s="64">
        <f>ROUND(Scores!AG40,$C$1)</f>
        <v>75</v>
      </c>
      <c r="AH40" s="64">
        <f>ROUND(Scores!AH40,$C$1)</f>
        <v>75</v>
      </c>
      <c r="AI40" s="64">
        <f>ROUND(Scores!AI40,$C$1)</f>
        <v>75</v>
      </c>
      <c r="AJ40" s="64">
        <f>ROUND(Scores!AJ40,$C$1)</f>
        <v>75</v>
      </c>
      <c r="AK40" s="64">
        <f>ROUND(Scores!AK40,$C$1)</f>
        <v>0</v>
      </c>
      <c r="AL40" s="64">
        <f>ROUND(Scores!AL40,$C$1)</f>
        <v>50</v>
      </c>
      <c r="AM40" s="64">
        <f>ROUND(Scores!AM40,$C$1)</f>
        <v>50</v>
      </c>
      <c r="AN40" s="64">
        <f>ROUND(Scores!AN40,$C$1)</f>
        <v>50</v>
      </c>
      <c r="AO40" s="64">
        <f>ROUND(Scores!AO40,$C$1)</f>
        <v>100</v>
      </c>
      <c r="AP40" s="64">
        <f>ROUND(Scores!AP40,$C$1)</f>
        <v>100</v>
      </c>
      <c r="AQ40" s="64">
        <f>ROUND(Scores!AQ40,$C$1)</f>
        <v>100</v>
      </c>
      <c r="AR40" s="64">
        <f>ROUND(Scores!AR40,$C$1)</f>
        <v>75</v>
      </c>
      <c r="AS40" s="64">
        <f>ROUND(Scores!AS40,$C$1)</f>
        <v>75</v>
      </c>
      <c r="AT40" s="64">
        <f>ROUND(Scores!AT40,$C$1)</f>
        <v>25</v>
      </c>
      <c r="AU40" s="64">
        <f>ROUND(Scores!AU40,$C$1)</f>
        <v>25</v>
      </c>
      <c r="AV40" s="64">
        <f>ROUND(Scores!AV40,$C$1)</f>
        <v>75</v>
      </c>
      <c r="AW40" s="64">
        <f>ROUND(Scores!AW40,$C$1)</f>
        <v>75</v>
      </c>
      <c r="AX40" s="64">
        <f>ROUND(Scores!AX40,$C$1)</f>
        <v>50</v>
      </c>
      <c r="AY40" s="64">
        <f>ROUND(Scores!AY40,$C$1)</f>
        <v>100</v>
      </c>
      <c r="AZ40" s="64">
        <f>ROUND(Scores!AZ40,$C$1)</f>
        <v>75</v>
      </c>
      <c r="BA40" s="64">
        <f>ROUND(Scores!BA40,$C$1)</f>
        <v>75</v>
      </c>
      <c r="BB40" s="64">
        <f>ROUND(Scores!BB40,$C$1)</f>
        <v>100</v>
      </c>
      <c r="BC40" s="64">
        <f>ROUND(Scores!BC40,$C$1)</f>
        <v>100</v>
      </c>
      <c r="BD40" s="64">
        <f>ROUND(Scores!BD40,$C$1)</f>
        <v>75</v>
      </c>
      <c r="BE40" s="64">
        <f>ROUND(Scores!BE40,$C$1)</f>
        <v>100</v>
      </c>
      <c r="BF40" s="64">
        <f>ROUND(Scores!BF40,$C$1)</f>
        <v>75</v>
      </c>
      <c r="BG40" s="64">
        <f>ROUND(Scores!BG40,$C$1)</f>
        <v>100</v>
      </c>
      <c r="BH40" s="64">
        <f>ROUND(Scores!BH40,$C$1)</f>
        <v>100</v>
      </c>
      <c r="BI40" s="64">
        <f>ROUND(Scores!BI40,$C$1)</f>
        <v>100</v>
      </c>
      <c r="BJ40" s="64">
        <f>ROUND(Scores!BJ40,$C$1)</f>
        <v>50</v>
      </c>
      <c r="BK40" s="64">
        <f>ROUND(Scores!BK40,$C$1)</f>
        <v>75</v>
      </c>
    </row>
    <row r="41" s="22" customFormat="1" spans="1:63">
      <c r="A41" s="24"/>
      <c r="B41" s="24"/>
      <c r="C41" s="24"/>
      <c r="D41" s="52"/>
      <c r="E41" s="52"/>
      <c r="F41" s="52"/>
      <c r="G41" s="52"/>
      <c r="H41" s="52"/>
      <c r="I41" s="52"/>
      <c r="J41" s="52"/>
      <c r="K41" s="54"/>
      <c r="L41" s="62" t="str">
        <f>tblIndicators!Z34</f>
        <v>3.1.4) Quality of electricity infrastructure</v>
      </c>
      <c r="M41" s="63"/>
      <c r="N41" s="64">
        <f>ROUND(Scores!N41,$C$1)</f>
        <v>75</v>
      </c>
      <c r="O41" s="64">
        <f>ROUND(Scores!O41,$C$1)</f>
        <v>50</v>
      </c>
      <c r="P41" s="64">
        <f>ROUND(Scores!P41,$C$1)</f>
        <v>100</v>
      </c>
      <c r="Q41" s="64">
        <f>ROUND(Scores!Q41,$C$1)</f>
        <v>75</v>
      </c>
      <c r="R41" s="64">
        <f>ROUND(Scores!R41,$C$1)</f>
        <v>100</v>
      </c>
      <c r="S41" s="64">
        <f>ROUND(Scores!S41,$C$1)</f>
        <v>100</v>
      </c>
      <c r="T41" s="64">
        <f>ROUND(Scores!T41,$C$1)</f>
        <v>100</v>
      </c>
      <c r="U41" s="64">
        <f>ROUND(Scores!U41,$C$1)</f>
        <v>100</v>
      </c>
      <c r="V41" s="64">
        <f>ROUND(Scores!V41,$C$1)</f>
        <v>100</v>
      </c>
      <c r="W41" s="64">
        <f>ROUND(Scores!W41,$C$1)</f>
        <v>100</v>
      </c>
      <c r="X41" s="64">
        <f>ROUND(Scores!X41,$C$1)</f>
        <v>50</v>
      </c>
      <c r="Y41" s="64">
        <f>ROUND(Scores!Y41,$C$1)</f>
        <v>100</v>
      </c>
      <c r="Z41" s="64">
        <f>ROUND(Scores!Z41,$C$1)</f>
        <v>100</v>
      </c>
      <c r="AA41" s="64">
        <f>ROUND(Scores!AA41,$C$1)</f>
        <v>100</v>
      </c>
      <c r="AB41" s="64">
        <f>ROUND(Scores!AB41,$C$1)</f>
        <v>100</v>
      </c>
      <c r="AC41" s="64">
        <f>ROUND(Scores!AC41,$C$1)</f>
        <v>100</v>
      </c>
      <c r="AD41" s="64">
        <f>ROUND(Scores!AD41,$C$1)</f>
        <v>100</v>
      </c>
      <c r="AE41" s="64">
        <f>ROUND(Scores!AE41,$C$1)</f>
        <v>100</v>
      </c>
      <c r="AF41" s="64">
        <f>ROUND(Scores!AF41,$C$1)</f>
        <v>100</v>
      </c>
      <c r="AG41" s="64">
        <f>ROUND(Scores!AG41,$C$1)</f>
        <v>100</v>
      </c>
      <c r="AH41" s="64">
        <f>ROUND(Scores!AH41,$C$1)</f>
        <v>100</v>
      </c>
      <c r="AI41" s="64">
        <f>ROUND(Scores!AI41,$C$1)</f>
        <v>75</v>
      </c>
      <c r="AJ41" s="64">
        <f>ROUND(Scores!AJ41,$C$1)</f>
        <v>100</v>
      </c>
      <c r="AK41" s="64">
        <f>ROUND(Scores!AK41,$C$1)</f>
        <v>75</v>
      </c>
      <c r="AL41" s="64">
        <f>ROUND(Scores!AL41,$C$1)</f>
        <v>50</v>
      </c>
      <c r="AM41" s="64">
        <f>ROUND(Scores!AM41,$C$1)</f>
        <v>50</v>
      </c>
      <c r="AN41" s="64">
        <f>ROUND(Scores!AN41,$C$1)</f>
        <v>25</v>
      </c>
      <c r="AO41" s="64">
        <f>ROUND(Scores!AO41,$C$1)</f>
        <v>100</v>
      </c>
      <c r="AP41" s="64">
        <f>ROUND(Scores!AP41,$C$1)</f>
        <v>100</v>
      </c>
      <c r="AQ41" s="64">
        <f>ROUND(Scores!AQ41,$C$1)</f>
        <v>100</v>
      </c>
      <c r="AR41" s="64">
        <f>ROUND(Scores!AR41,$C$1)</f>
        <v>100</v>
      </c>
      <c r="AS41" s="64">
        <f>ROUND(Scores!AS41,$C$1)</f>
        <v>75</v>
      </c>
      <c r="AT41" s="64">
        <f>ROUND(Scores!AT41,$C$1)</f>
        <v>100</v>
      </c>
      <c r="AU41" s="64">
        <f>ROUND(Scores!AU41,$C$1)</f>
        <v>50</v>
      </c>
      <c r="AV41" s="64">
        <f>ROUND(Scores!AV41,$C$1)</f>
        <v>100</v>
      </c>
      <c r="AW41" s="64">
        <f>ROUND(Scores!AW41,$C$1)</f>
        <v>75</v>
      </c>
      <c r="AX41" s="64">
        <f>ROUND(Scores!AX41,$C$1)</f>
        <v>75</v>
      </c>
      <c r="AY41" s="64">
        <f>ROUND(Scores!AY41,$C$1)</f>
        <v>75</v>
      </c>
      <c r="AZ41" s="64">
        <f>ROUND(Scores!AZ41,$C$1)</f>
        <v>100</v>
      </c>
      <c r="BA41" s="64">
        <f>ROUND(Scores!BA41,$C$1)</f>
        <v>100</v>
      </c>
      <c r="BB41" s="64">
        <f>ROUND(Scores!BB41,$C$1)</f>
        <v>100</v>
      </c>
      <c r="BC41" s="64">
        <f>ROUND(Scores!BC41,$C$1)</f>
        <v>100</v>
      </c>
      <c r="BD41" s="64">
        <f>ROUND(Scores!BD41,$C$1)</f>
        <v>100</v>
      </c>
      <c r="BE41" s="64">
        <f>ROUND(Scores!BE41,$C$1)</f>
        <v>100</v>
      </c>
      <c r="BF41" s="64">
        <f>ROUND(Scores!BF41,$C$1)</f>
        <v>100</v>
      </c>
      <c r="BG41" s="64">
        <f>ROUND(Scores!BG41,$C$1)</f>
        <v>100</v>
      </c>
      <c r="BH41" s="64">
        <f>ROUND(Scores!BH41,$C$1)</f>
        <v>100</v>
      </c>
      <c r="BI41" s="64">
        <f>ROUND(Scores!BI41,$C$1)</f>
        <v>100</v>
      </c>
      <c r="BJ41" s="64">
        <f>ROUND(Scores!BJ41,$C$1)</f>
        <v>75</v>
      </c>
      <c r="BK41" s="64">
        <f>ROUND(Scores!BK41,$C$1)</f>
        <v>100</v>
      </c>
    </row>
    <row r="42" s="22" customFormat="1" spans="1:63">
      <c r="A42" s="24"/>
      <c r="B42" s="24"/>
      <c r="C42" s="24"/>
      <c r="D42" s="52"/>
      <c r="E42" s="52"/>
      <c r="F42" s="52"/>
      <c r="G42" s="52"/>
      <c r="H42" s="52"/>
      <c r="I42" s="52"/>
      <c r="J42" s="52"/>
      <c r="K42" s="54"/>
      <c r="L42" s="62" t="str">
        <f>tblIndicators!Z35</f>
        <v>3.1.5) Disaster Management/Business Continuity Plan</v>
      </c>
      <c r="M42" s="63"/>
      <c r="N42" s="64">
        <f>ROUND(Scores!N42,$C$1)</f>
        <v>100</v>
      </c>
      <c r="O42" s="64">
        <f>ROUND(Scores!O42,$C$1)</f>
        <v>50</v>
      </c>
      <c r="P42" s="64">
        <f>ROUND(Scores!P42,$C$1)</f>
        <v>100</v>
      </c>
      <c r="Q42" s="64">
        <f>ROUND(Scores!Q42,$C$1)</f>
        <v>75</v>
      </c>
      <c r="R42" s="64">
        <f>ROUND(Scores!R42,$C$1)</f>
        <v>50</v>
      </c>
      <c r="S42" s="64">
        <f>ROUND(Scores!S42,$C$1)</f>
        <v>75</v>
      </c>
      <c r="T42" s="64">
        <f>ROUND(Scores!T42,$C$1)</f>
        <v>100</v>
      </c>
      <c r="U42" s="64">
        <f>ROUND(Scores!U42,$C$1)</f>
        <v>100</v>
      </c>
      <c r="V42" s="64">
        <f>ROUND(Scores!V42,$C$1)</f>
        <v>100</v>
      </c>
      <c r="W42" s="64">
        <f>ROUND(Scores!W42,$C$1)</f>
        <v>100</v>
      </c>
      <c r="X42" s="64">
        <f>ROUND(Scores!X42,$C$1)</f>
        <v>75</v>
      </c>
      <c r="Y42" s="64">
        <f>ROUND(Scores!Y42,$C$1)</f>
        <v>100</v>
      </c>
      <c r="Z42" s="64">
        <f>ROUND(Scores!Z42,$C$1)</f>
        <v>100</v>
      </c>
      <c r="AA42" s="64">
        <f>ROUND(Scores!AA42,$C$1)</f>
        <v>100</v>
      </c>
      <c r="AB42" s="64">
        <f>ROUND(Scores!AB42,$C$1)</f>
        <v>100</v>
      </c>
      <c r="AC42" s="64">
        <f>ROUND(Scores!AC42,$C$1)</f>
        <v>100</v>
      </c>
      <c r="AD42" s="64">
        <f>ROUND(Scores!AD42,$C$1)</f>
        <v>100</v>
      </c>
      <c r="AE42" s="64">
        <f>ROUND(Scores!AE42,$C$1)</f>
        <v>100</v>
      </c>
      <c r="AF42" s="64">
        <f>ROUND(Scores!AF42,$C$1)</f>
        <v>50</v>
      </c>
      <c r="AG42" s="64">
        <f>ROUND(Scores!AG42,$C$1)</f>
        <v>50</v>
      </c>
      <c r="AH42" s="64">
        <f>ROUND(Scores!AH42,$C$1)</f>
        <v>50</v>
      </c>
      <c r="AI42" s="64">
        <f>ROUND(Scores!AI42,$C$1)</f>
        <v>75</v>
      </c>
      <c r="AJ42" s="64">
        <f>ROUND(Scores!AJ42,$C$1)</f>
        <v>50</v>
      </c>
      <c r="AK42" s="64">
        <f>ROUND(Scores!AK42,$C$1)</f>
        <v>25</v>
      </c>
      <c r="AL42" s="64">
        <f>ROUND(Scores!AL42,$C$1)</f>
        <v>25</v>
      </c>
      <c r="AM42" s="64">
        <f>ROUND(Scores!AM42,$C$1)</f>
        <v>50</v>
      </c>
      <c r="AN42" s="64">
        <f>ROUND(Scores!AN42,$C$1)</f>
        <v>50</v>
      </c>
      <c r="AO42" s="64">
        <f>ROUND(Scores!AO42,$C$1)</f>
        <v>100</v>
      </c>
      <c r="AP42" s="64">
        <f>ROUND(Scores!AP42,$C$1)</f>
        <v>100</v>
      </c>
      <c r="AQ42" s="64">
        <f>ROUND(Scores!AQ42,$C$1)</f>
        <v>100</v>
      </c>
      <c r="AR42" s="64">
        <f>ROUND(Scores!AR42,$C$1)</f>
        <v>75</v>
      </c>
      <c r="AS42" s="64">
        <f>ROUND(Scores!AS42,$C$1)</f>
        <v>75</v>
      </c>
      <c r="AT42" s="64">
        <f>ROUND(Scores!AT42,$C$1)</f>
        <v>75</v>
      </c>
      <c r="AU42" s="64">
        <f>ROUND(Scores!AU42,$C$1)</f>
        <v>50</v>
      </c>
      <c r="AV42" s="64">
        <f>ROUND(Scores!AV42,$C$1)</f>
        <v>75</v>
      </c>
      <c r="AW42" s="64">
        <f>ROUND(Scores!AW42,$C$1)</f>
        <v>100</v>
      </c>
      <c r="AX42" s="64">
        <f>ROUND(Scores!AX42,$C$1)</f>
        <v>50</v>
      </c>
      <c r="AY42" s="64">
        <f>ROUND(Scores!AY42,$C$1)</f>
        <v>75</v>
      </c>
      <c r="AZ42" s="64">
        <f>ROUND(Scores!AZ42,$C$1)</f>
        <v>100</v>
      </c>
      <c r="BA42" s="64">
        <f>ROUND(Scores!BA42,$C$1)</f>
        <v>100</v>
      </c>
      <c r="BB42" s="64">
        <f>ROUND(Scores!BB42,$C$1)</f>
        <v>100</v>
      </c>
      <c r="BC42" s="64">
        <f>ROUND(Scores!BC42,$C$1)</f>
        <v>100</v>
      </c>
      <c r="BD42" s="64">
        <f>ROUND(Scores!BD42,$C$1)</f>
        <v>100</v>
      </c>
      <c r="BE42" s="64">
        <f>ROUND(Scores!BE42,$C$1)</f>
        <v>100</v>
      </c>
      <c r="BF42" s="64">
        <f>ROUND(Scores!BF42,$C$1)</f>
        <v>50</v>
      </c>
      <c r="BG42" s="64">
        <f>ROUND(Scores!BG42,$C$1)</f>
        <v>100</v>
      </c>
      <c r="BH42" s="64">
        <f>ROUND(Scores!BH42,$C$1)</f>
        <v>100</v>
      </c>
      <c r="BI42" s="64">
        <f>ROUND(Scores!BI42,$C$1)</f>
        <v>100</v>
      </c>
      <c r="BJ42" s="64">
        <f>ROUND(Scores!BJ42,$C$1)</f>
        <v>75</v>
      </c>
      <c r="BK42" s="64">
        <f>ROUND(Scores!BK42,$C$1)</f>
        <v>100</v>
      </c>
    </row>
    <row r="43" s="22" customFormat="1" spans="1:63">
      <c r="A43" s="24"/>
      <c r="B43" s="24"/>
      <c r="C43" s="24"/>
      <c r="D43" s="52"/>
      <c r="E43" s="52"/>
      <c r="F43" s="52"/>
      <c r="G43" s="52"/>
      <c r="H43" s="52"/>
      <c r="I43" s="52"/>
      <c r="J43" s="52"/>
      <c r="K43" s="54"/>
      <c r="L43" s="62" t="str">
        <f>tblIndicators!Z36</f>
        <v>3.2) Infrastructure Safety (Outputs)</v>
      </c>
      <c r="M43" s="63"/>
      <c r="N43" s="64">
        <f>ROUND(Scores!N43,$C$1)</f>
        <v>91.32</v>
      </c>
      <c r="O43" s="64">
        <f>ROUND(Scores!O43,$C$1)</f>
        <v>65.34</v>
      </c>
      <c r="P43" s="64">
        <f>ROUND(Scores!P43,$C$1)</f>
        <v>67.06</v>
      </c>
      <c r="Q43" s="64">
        <f>ROUND(Scores!Q43,$C$1)</f>
        <v>75.32</v>
      </c>
      <c r="R43" s="64">
        <f>ROUND(Scores!R43,$C$1)</f>
        <v>76.3</v>
      </c>
      <c r="S43" s="64">
        <f>ROUND(Scores!S43,$C$1)</f>
        <v>82.44</v>
      </c>
      <c r="T43" s="64">
        <f>ROUND(Scores!T43,$C$1)</f>
        <v>82.32</v>
      </c>
      <c r="U43" s="64">
        <f>ROUND(Scores!U43,$C$1)</f>
        <v>85.13</v>
      </c>
      <c r="V43" s="64">
        <f>ROUND(Scores!V43,$C$1)</f>
        <v>88.94</v>
      </c>
      <c r="W43" s="64">
        <f>ROUND(Scores!W43,$C$1)</f>
        <v>81.38</v>
      </c>
      <c r="X43" s="64">
        <f>ROUND(Scores!X43,$C$1)</f>
        <v>40.86</v>
      </c>
      <c r="Y43" s="64">
        <f>ROUND(Scores!Y43,$C$1)</f>
        <v>67.87</v>
      </c>
      <c r="Z43" s="64">
        <f>ROUND(Scores!Z43,$C$1)</f>
        <v>86.66</v>
      </c>
      <c r="AA43" s="64">
        <f>ROUND(Scores!AA43,$C$1)</f>
        <v>79.86</v>
      </c>
      <c r="AB43" s="64">
        <f>ROUND(Scores!AB43,$C$1)</f>
        <v>64.01</v>
      </c>
      <c r="AC43" s="64">
        <f>ROUND(Scores!AC43,$C$1)</f>
        <v>87.3</v>
      </c>
      <c r="AD43" s="64">
        <f>ROUND(Scores!AD43,$C$1)</f>
        <v>89.06</v>
      </c>
      <c r="AE43" s="64">
        <f>ROUND(Scores!AE43,$C$1)</f>
        <v>62.92</v>
      </c>
      <c r="AF43" s="64">
        <f>ROUND(Scores!AF43,$C$1)</f>
        <v>79.57</v>
      </c>
      <c r="AG43" s="64">
        <f>ROUND(Scores!AG43,$C$1)</f>
        <v>79.76</v>
      </c>
      <c r="AH43" s="64">
        <f>ROUND(Scores!AH43,$C$1)</f>
        <v>79.49</v>
      </c>
      <c r="AI43" s="64">
        <f>ROUND(Scores!AI43,$C$1)</f>
        <v>79.63</v>
      </c>
      <c r="AJ43" s="64">
        <f>ROUND(Scores!AJ43,$C$1)</f>
        <v>79.56</v>
      </c>
      <c r="AK43" s="64">
        <f>ROUND(Scores!AK43,$C$1)</f>
        <v>79.28</v>
      </c>
      <c r="AL43" s="64">
        <f>ROUND(Scores!AL43,$C$1)</f>
        <v>77.92</v>
      </c>
      <c r="AM43" s="64">
        <f>ROUND(Scores!AM43,$C$1)</f>
        <v>58.04</v>
      </c>
      <c r="AN43" s="64">
        <f>ROUND(Scores!AN43,$C$1)</f>
        <v>84.46</v>
      </c>
      <c r="AO43" s="64">
        <f>ROUND(Scores!AO43,$C$1)</f>
        <v>84.08</v>
      </c>
      <c r="AP43" s="64">
        <f>ROUND(Scores!AP43,$C$1)</f>
        <v>75.92</v>
      </c>
      <c r="AQ43" s="64">
        <f>ROUND(Scores!AQ43,$C$1)</f>
        <v>81.21</v>
      </c>
      <c r="AR43" s="64">
        <f>ROUND(Scores!AR43,$C$1)</f>
        <v>86.79</v>
      </c>
      <c r="AS43" s="64">
        <f>ROUND(Scores!AS43,$C$1)</f>
        <v>93.49</v>
      </c>
      <c r="AT43" s="64">
        <f>ROUND(Scores!AT43,$C$1)</f>
        <v>77.89</v>
      </c>
      <c r="AU43" s="64">
        <f>ROUND(Scores!AU43,$C$1)</f>
        <v>74.81</v>
      </c>
      <c r="AV43" s="64">
        <f>ROUND(Scores!AV43,$C$1)</f>
        <v>85.8</v>
      </c>
      <c r="AW43" s="64">
        <f>ROUND(Scores!AW43,$C$1)</f>
        <v>83.67</v>
      </c>
      <c r="AX43" s="64">
        <f>ROUND(Scores!AX43,$C$1)</f>
        <v>69.55</v>
      </c>
      <c r="AY43" s="64">
        <f>ROUND(Scores!AY43,$C$1)</f>
        <v>85.81</v>
      </c>
      <c r="AZ43" s="64">
        <f>ROUND(Scores!AZ43,$C$1)</f>
        <v>81.69</v>
      </c>
      <c r="BA43" s="64">
        <f>ROUND(Scores!BA43,$C$1)</f>
        <v>78.94</v>
      </c>
      <c r="BB43" s="64">
        <f>ROUND(Scores!BB43,$C$1)</f>
        <v>70.09</v>
      </c>
      <c r="BC43" s="64">
        <f>ROUND(Scores!BC43,$C$1)</f>
        <v>74.05</v>
      </c>
      <c r="BD43" s="64">
        <f>ROUND(Scores!BD43,$C$1)</f>
        <v>69.31</v>
      </c>
      <c r="BE43" s="64">
        <f>ROUND(Scores!BE43,$C$1)</f>
        <v>88.54</v>
      </c>
      <c r="BF43" s="64">
        <f>ROUND(Scores!BF43,$C$1)</f>
        <v>64.31</v>
      </c>
      <c r="BG43" s="64">
        <f>ROUND(Scores!BG43,$C$1)</f>
        <v>80.07</v>
      </c>
      <c r="BH43" s="64">
        <f>ROUND(Scores!BH43,$C$1)</f>
        <v>76.79</v>
      </c>
      <c r="BI43" s="64">
        <f>ROUND(Scores!BI43,$C$1)</f>
        <v>91.26</v>
      </c>
      <c r="BJ43" s="64">
        <f>ROUND(Scores!BJ43,$C$1)</f>
        <v>79.42</v>
      </c>
      <c r="BK43" s="64">
        <f>ROUND(Scores!BK43,$C$1)</f>
        <v>81.81</v>
      </c>
    </row>
    <row r="44" s="22" customFormat="1" spans="1:63">
      <c r="A44" s="24"/>
      <c r="B44" s="24"/>
      <c r="C44" s="24"/>
      <c r="D44" s="52"/>
      <c r="E44" s="52"/>
      <c r="F44" s="52"/>
      <c r="G44" s="52"/>
      <c r="H44" s="52"/>
      <c r="I44" s="52"/>
      <c r="J44" s="52"/>
      <c r="K44" s="54"/>
      <c r="L44" s="62" t="str">
        <f>tblIndicators!Z37</f>
        <v>3.2.1) Death from natural disasters</v>
      </c>
      <c r="M44" s="63"/>
      <c r="N44" s="64">
        <f>ROUND(Scores!N44,$C$1)</f>
        <v>99.93</v>
      </c>
      <c r="O44" s="64">
        <f>ROUND(Scores!O44,$C$1)</f>
        <v>99.66</v>
      </c>
      <c r="P44" s="64">
        <f>ROUND(Scores!P44,$C$1)</f>
        <v>99.71</v>
      </c>
      <c r="Q44" s="64">
        <f>ROUND(Scores!Q44,$C$1)</f>
        <v>91.33</v>
      </c>
      <c r="R44" s="64">
        <f>ROUND(Scores!R44,$C$1)</f>
        <v>98.36</v>
      </c>
      <c r="S44" s="64">
        <f>ROUND(Scores!S44,$C$1)</f>
        <v>99.83</v>
      </c>
      <c r="T44" s="64">
        <f>ROUND(Scores!T44,$C$1)</f>
        <v>99.17</v>
      </c>
      <c r="U44" s="64">
        <f>ROUND(Scores!U44,$C$1)</f>
        <v>99.93</v>
      </c>
      <c r="V44" s="64">
        <f>ROUND(Scores!V44,$C$1)</f>
        <v>99.89</v>
      </c>
      <c r="W44" s="64">
        <f>ROUND(Scores!W44,$C$1)</f>
        <v>99.32</v>
      </c>
      <c r="X44" s="64">
        <f>ROUND(Scores!X44,$C$1)</f>
        <v>99.79</v>
      </c>
      <c r="Y44" s="64">
        <f>ROUND(Scores!Y44,$C$1)</f>
        <v>98.69</v>
      </c>
      <c r="Z44" s="64">
        <f>ROUND(Scores!Z44,$C$1)</f>
        <v>99.54</v>
      </c>
      <c r="AA44" s="64">
        <f>ROUND(Scores!AA44,$C$1)</f>
        <v>99.88</v>
      </c>
      <c r="AB44" s="64">
        <f>ROUND(Scores!AB44,$C$1)</f>
        <v>99.97</v>
      </c>
      <c r="AC44" s="64">
        <f>ROUND(Scores!AC44,$C$1)</f>
        <v>98.25</v>
      </c>
      <c r="AD44" s="64">
        <f>ROUND(Scores!AD44,$C$1)</f>
        <v>98.25</v>
      </c>
      <c r="AE44" s="64">
        <f>ROUND(Scores!AE44,$C$1)</f>
        <v>100</v>
      </c>
      <c r="AF44" s="64">
        <f>ROUND(Scores!AF44,$C$1)</f>
        <v>99.83</v>
      </c>
      <c r="AG44" s="64">
        <f>ROUND(Scores!AG44,$C$1)</f>
        <v>99.99</v>
      </c>
      <c r="AH44" s="64">
        <f>ROUND(Scores!AH44,$C$1)</f>
        <v>99.77</v>
      </c>
      <c r="AI44" s="64">
        <f>ROUND(Scores!AI44,$C$1)</f>
        <v>99.75</v>
      </c>
      <c r="AJ44" s="64">
        <f>ROUND(Scores!AJ44,$C$1)</f>
        <v>99.64</v>
      </c>
      <c r="AK44" s="64">
        <f>ROUND(Scores!AK44,$C$1)</f>
        <v>100</v>
      </c>
      <c r="AL44" s="64">
        <f>ROUND(Scores!AL44,$C$1)</f>
        <v>97.34</v>
      </c>
      <c r="AM44" s="64">
        <f>ROUND(Scores!AM44,$C$1)</f>
        <v>0</v>
      </c>
      <c r="AN44" s="64">
        <f>ROUND(Scores!AN44,$C$1)</f>
        <v>99.47</v>
      </c>
      <c r="AO44" s="64">
        <f>ROUND(Scores!AO44,$C$1)</f>
        <v>89.95</v>
      </c>
      <c r="AP44" s="64">
        <f>ROUND(Scores!AP44,$C$1)</f>
        <v>62.3</v>
      </c>
      <c r="AQ44" s="64">
        <f>ROUND(Scores!AQ44,$C$1)</f>
        <v>99.68</v>
      </c>
      <c r="AR44" s="64">
        <f>ROUND(Scores!AR44,$C$1)</f>
        <v>99.87</v>
      </c>
      <c r="AS44" s="64">
        <f>ROUND(Scores!AS44,$C$1)</f>
        <v>98.38</v>
      </c>
      <c r="AT44" s="64">
        <f>ROUND(Scores!AT44,$C$1)</f>
        <v>96.58</v>
      </c>
      <c r="AU44" s="64">
        <f>ROUND(Scores!AU44,$C$1)</f>
        <v>98.48</v>
      </c>
      <c r="AV44" s="64">
        <f>ROUND(Scores!AV44,$C$1)</f>
        <v>100</v>
      </c>
      <c r="AW44" s="64">
        <f>ROUND(Scores!AW44,$C$1)</f>
        <v>100</v>
      </c>
      <c r="AX44" s="64">
        <f>ROUND(Scores!AX44,$C$1)</f>
        <v>99.97</v>
      </c>
      <c r="AY44" s="64">
        <f>ROUND(Scores!AY44,$C$1)</f>
        <v>100</v>
      </c>
      <c r="AZ44" s="64">
        <f>ROUND(Scores!AZ44,$C$1)</f>
        <v>95.88</v>
      </c>
      <c r="BA44" s="64">
        <f>ROUND(Scores!BA44,$C$1)</f>
        <v>99.27</v>
      </c>
      <c r="BB44" s="64">
        <f>ROUND(Scores!BB44,$C$1)</f>
        <v>99.21</v>
      </c>
      <c r="BC44" s="64">
        <f>ROUND(Scores!BC44,$C$1)</f>
        <v>99.09</v>
      </c>
      <c r="BD44" s="64">
        <f>ROUND(Scores!BD44,$C$1)</f>
        <v>98.18</v>
      </c>
      <c r="BE44" s="64">
        <f>ROUND(Scores!BE44,$C$1)</f>
        <v>94.03</v>
      </c>
      <c r="BF44" s="64">
        <f>ROUND(Scores!BF44,$C$1)</f>
        <v>77.74</v>
      </c>
      <c r="BG44" s="64">
        <f>ROUND(Scores!BG44,$C$1)</f>
        <v>99.79</v>
      </c>
      <c r="BH44" s="64">
        <f>ROUND(Scores!BH44,$C$1)</f>
        <v>99.59</v>
      </c>
      <c r="BI44" s="64">
        <f>ROUND(Scores!BI44,$C$1)</f>
        <v>99.76</v>
      </c>
      <c r="BJ44" s="64">
        <f>ROUND(Scores!BJ44,$C$1)</f>
        <v>99.63</v>
      </c>
      <c r="BK44" s="64">
        <f>ROUND(Scores!BK44,$C$1)</f>
        <v>99.53</v>
      </c>
    </row>
    <row r="45" s="22" customFormat="1" spans="1:63">
      <c r="A45" s="24"/>
      <c r="B45" s="24"/>
      <c r="C45" s="24"/>
      <c r="D45" s="52"/>
      <c r="E45" s="52"/>
      <c r="F45" s="52"/>
      <c r="G45" s="52"/>
      <c r="H45" s="52"/>
      <c r="I45" s="52"/>
      <c r="J45" s="52"/>
      <c r="K45" s="54"/>
      <c r="L45" s="62" t="str">
        <f>tblIndicators!Z38</f>
        <v>3.2.2) Frequency of vehicular accidents</v>
      </c>
      <c r="M45" s="63"/>
      <c r="N45" s="64">
        <f>ROUND(Scores!N45,$C$1)</f>
        <v>95.54</v>
      </c>
      <c r="O45" s="64">
        <f>ROUND(Scores!O45,$C$1)</f>
        <v>40.44</v>
      </c>
      <c r="P45" s="64">
        <f>ROUND(Scores!P45,$C$1)</f>
        <v>93.06</v>
      </c>
      <c r="Q45" s="64">
        <f>ROUND(Scores!Q45,$C$1)</f>
        <v>93.05</v>
      </c>
      <c r="R45" s="64">
        <f>ROUND(Scores!R45,$C$1)</f>
        <v>89.74</v>
      </c>
      <c r="S45" s="64">
        <f>ROUND(Scores!S45,$C$1)</f>
        <v>87.19</v>
      </c>
      <c r="T45" s="64">
        <f>ROUND(Scores!T45,$C$1)</f>
        <v>86.27</v>
      </c>
      <c r="U45" s="64">
        <f>ROUND(Scores!U45,$C$1)</f>
        <v>73.82</v>
      </c>
      <c r="V45" s="64">
        <f>ROUND(Scores!V45,$C$1)</f>
        <v>88.42</v>
      </c>
      <c r="W45" s="64">
        <f>ROUND(Scores!W45,$C$1)</f>
        <v>81.98</v>
      </c>
      <c r="X45" s="64">
        <f>ROUND(Scores!X45,$C$1)</f>
        <v>0</v>
      </c>
      <c r="Y45" s="64">
        <f>ROUND(Scores!Y45,$C$1)</f>
        <v>81.58</v>
      </c>
      <c r="Z45" s="64">
        <f>ROUND(Scores!Z45,$C$1)</f>
        <v>89.09</v>
      </c>
      <c r="AA45" s="64">
        <f>ROUND(Scores!AA45,$C$1)</f>
        <v>74.98</v>
      </c>
      <c r="AB45" s="64">
        <f>ROUND(Scores!AB45,$C$1)</f>
        <v>10.89</v>
      </c>
      <c r="AC45" s="64">
        <f>ROUND(Scores!AC45,$C$1)</f>
        <v>82.96</v>
      </c>
      <c r="AD45" s="64">
        <f>ROUND(Scores!AD45,$C$1)</f>
        <v>89.83</v>
      </c>
      <c r="AE45" s="64">
        <f>ROUND(Scores!AE45,$C$1)</f>
        <v>93.39</v>
      </c>
      <c r="AF45" s="64">
        <f>ROUND(Scores!AF45,$C$1)</f>
        <v>99.79</v>
      </c>
      <c r="AG45" s="64">
        <f>ROUND(Scores!AG45,$C$1)</f>
        <v>100</v>
      </c>
      <c r="AH45" s="64">
        <f>ROUND(Scores!AH45,$C$1)</f>
        <v>99.55</v>
      </c>
      <c r="AI45" s="64">
        <f>ROUND(Scores!AI45,$C$1)</f>
        <v>99.74</v>
      </c>
      <c r="AJ45" s="64">
        <f>ROUND(Scores!AJ45,$C$1)</f>
        <v>99.56</v>
      </c>
      <c r="AK45" s="64">
        <f>ROUND(Scores!AK45,$C$1)</f>
        <v>99.71</v>
      </c>
      <c r="AL45" s="64">
        <f>ROUND(Scores!AL45,$C$1)</f>
        <v>99.19</v>
      </c>
      <c r="AM45" s="64">
        <f>ROUND(Scores!AM45,$C$1)</f>
        <v>98.39</v>
      </c>
      <c r="AN45" s="64">
        <f>ROUND(Scores!AN45,$C$1)</f>
        <v>95.51</v>
      </c>
      <c r="AO45" s="64">
        <f>ROUND(Scores!AO45,$C$1)</f>
        <v>89.34</v>
      </c>
      <c r="AP45" s="64">
        <f>ROUND(Scores!AP45,$C$1)</f>
        <v>83.6</v>
      </c>
      <c r="AQ45" s="64">
        <f>ROUND(Scores!AQ45,$C$1)</f>
        <v>96.67</v>
      </c>
      <c r="AR45" s="64">
        <f>ROUND(Scores!AR45,$C$1)</f>
        <v>88.01</v>
      </c>
      <c r="AS45" s="64">
        <f>ROUND(Scores!AS45,$C$1)</f>
        <v>76.9</v>
      </c>
      <c r="AT45" s="64">
        <f>ROUND(Scores!AT45,$C$1)</f>
        <v>90.63</v>
      </c>
      <c r="AU45" s="64">
        <f>ROUND(Scores!AU45,$C$1)</f>
        <v>99.29</v>
      </c>
      <c r="AV45" s="64">
        <f>ROUND(Scores!AV45,$C$1)</f>
        <v>68.6</v>
      </c>
      <c r="AW45" s="64">
        <f>ROUND(Scores!AW45,$C$1)</f>
        <v>93.48</v>
      </c>
      <c r="AX45" s="64">
        <f>ROUND(Scores!AX45,$C$1)</f>
        <v>30</v>
      </c>
      <c r="AY45" s="64">
        <f>ROUND(Scores!AY45,$C$1)</f>
        <v>97.75</v>
      </c>
      <c r="AZ45" s="64">
        <f>ROUND(Scores!AZ45,$C$1)</f>
        <v>89.83</v>
      </c>
      <c r="BA45" s="64">
        <f>ROUND(Scores!BA45,$C$1)</f>
        <v>67.74</v>
      </c>
      <c r="BB45" s="64">
        <f>ROUND(Scores!BB45,$C$1)</f>
        <v>33.5</v>
      </c>
      <c r="BC45" s="64">
        <f>ROUND(Scores!BC45,$C$1)</f>
        <v>78.63</v>
      </c>
      <c r="BD45" s="64">
        <f>ROUND(Scores!BD45,$C$1)</f>
        <v>60.96</v>
      </c>
      <c r="BE45" s="64">
        <f>ROUND(Scores!BE45,$C$1)</f>
        <v>98.64</v>
      </c>
      <c r="BF45" s="64">
        <f>ROUND(Scores!BF45,$C$1)</f>
        <v>97.1</v>
      </c>
      <c r="BG45" s="64">
        <f>ROUND(Scores!BG45,$C$1)</f>
        <v>94.86</v>
      </c>
      <c r="BH45" s="64">
        <f>ROUND(Scores!BH45,$C$1)</f>
        <v>82.71</v>
      </c>
      <c r="BI45" s="64">
        <f>ROUND(Scores!BI45,$C$1)</f>
        <v>73.05</v>
      </c>
      <c r="BJ45" s="64">
        <f>ROUND(Scores!BJ45,$C$1)</f>
        <v>52</v>
      </c>
      <c r="BK45" s="64">
        <f>ROUND(Scores!BK45,$C$1)</f>
        <v>93.63</v>
      </c>
    </row>
    <row r="46" s="22" customFormat="1" spans="1:63">
      <c r="A46" s="24"/>
      <c r="B46" s="24"/>
      <c r="C46" s="24"/>
      <c r="D46" s="52"/>
      <c r="E46" s="52"/>
      <c r="F46" s="52"/>
      <c r="G46" s="52"/>
      <c r="H46" s="52"/>
      <c r="I46" s="52"/>
      <c r="J46" s="52"/>
      <c r="K46" s="54"/>
      <c r="L46" s="62" t="str">
        <f>tblIndicators!Z39</f>
        <v>3.2.3) Frequency of pedestrian deaths</v>
      </c>
      <c r="M46" s="63"/>
      <c r="N46" s="64">
        <f>ROUND(Scores!N46,$C$1)</f>
        <v>99.44</v>
      </c>
      <c r="O46" s="64">
        <f>ROUND(Scores!O46,$C$1)</f>
        <v>82.84</v>
      </c>
      <c r="P46" s="64">
        <f>ROUND(Scores!P46,$C$1)</f>
        <v>30.6</v>
      </c>
      <c r="Q46" s="64">
        <f>ROUND(Scores!Q46,$C$1)</f>
        <v>89.93</v>
      </c>
      <c r="R46" s="64">
        <f>ROUND(Scores!R46,$C$1)</f>
        <v>90.11</v>
      </c>
      <c r="S46" s="64">
        <f>ROUND(Scores!S46,$C$1)</f>
        <v>95.52</v>
      </c>
      <c r="T46" s="64">
        <f>ROUND(Scores!T46,$C$1)</f>
        <v>96.64</v>
      </c>
      <c r="U46" s="64">
        <f>ROUND(Scores!U46,$C$1)</f>
        <v>99.63</v>
      </c>
      <c r="V46" s="64">
        <f>ROUND(Scores!V46,$C$1)</f>
        <v>100</v>
      </c>
      <c r="W46" s="64">
        <f>ROUND(Scores!W46,$C$1)</f>
        <v>97.01</v>
      </c>
      <c r="X46" s="64">
        <f>ROUND(Scores!X46,$C$1)</f>
        <v>0</v>
      </c>
      <c r="Y46" s="64">
        <f>ROUND(Scores!Y46,$C$1)</f>
        <v>91.23</v>
      </c>
      <c r="Z46" s="64">
        <f>ROUND(Scores!Z46,$C$1)</f>
        <v>78.54</v>
      </c>
      <c r="AA46" s="64">
        <f>ROUND(Scores!AA46,$C$1)</f>
        <v>97.39</v>
      </c>
      <c r="AB46" s="64">
        <f>ROUND(Scores!AB46,$C$1)</f>
        <v>97.95</v>
      </c>
      <c r="AC46" s="64">
        <f>ROUND(Scores!AC46,$C$1)</f>
        <v>99.07</v>
      </c>
      <c r="AD46" s="64">
        <f>ROUND(Scores!AD46,$C$1)</f>
        <v>99.25</v>
      </c>
      <c r="AE46" s="64">
        <f>ROUND(Scores!AE46,$C$1)</f>
        <v>5.22</v>
      </c>
      <c r="AF46" s="64">
        <f>ROUND(Scores!AF46,$C$1)</f>
        <v>98.13</v>
      </c>
      <c r="AG46" s="64">
        <f>ROUND(Scores!AG46,$C$1)</f>
        <v>98.51</v>
      </c>
      <c r="AH46" s="64">
        <f>ROUND(Scores!AH46,$C$1)</f>
        <v>98.13</v>
      </c>
      <c r="AI46" s="64">
        <f>ROUND(Scores!AI46,$C$1)</f>
        <v>98.51</v>
      </c>
      <c r="AJ46" s="64">
        <f>ROUND(Scores!AJ46,$C$1)</f>
        <v>98.51</v>
      </c>
      <c r="AK46" s="64">
        <f>ROUND(Scores!AK46,$C$1)</f>
        <v>97.76</v>
      </c>
      <c r="AL46" s="64">
        <f>ROUND(Scores!AL46,$C$1)</f>
        <v>95.52</v>
      </c>
      <c r="AM46" s="64">
        <f>ROUND(Scores!AM46,$C$1)</f>
        <v>95.34</v>
      </c>
      <c r="AN46" s="64">
        <f>ROUND(Scores!AN46,$C$1)</f>
        <v>80.97</v>
      </c>
      <c r="AO46" s="64">
        <f>ROUND(Scores!AO46,$C$1)</f>
        <v>97.2</v>
      </c>
      <c r="AP46" s="64">
        <f>ROUND(Scores!AP46,$C$1)</f>
        <v>97.95</v>
      </c>
      <c r="AQ46" s="64">
        <f>ROUND(Scores!AQ46,$C$1)</f>
        <v>98.88</v>
      </c>
      <c r="AR46" s="64">
        <f>ROUND(Scores!AR46,$C$1)</f>
        <v>97.39</v>
      </c>
      <c r="AS46" s="64">
        <f>ROUND(Scores!AS46,$C$1)</f>
        <v>98.69</v>
      </c>
      <c r="AT46" s="64">
        <f>ROUND(Scores!AT46,$C$1)</f>
        <v>97.67</v>
      </c>
      <c r="AU46" s="64">
        <f>ROUND(Scores!AU46,$C$1)</f>
        <v>98.84</v>
      </c>
      <c r="AV46" s="64">
        <f>ROUND(Scores!AV46,$C$1)</f>
        <v>83.4</v>
      </c>
      <c r="AW46" s="64">
        <f>ROUND(Scores!AW46,$C$1)</f>
        <v>92.54</v>
      </c>
      <c r="AX46" s="64">
        <f>ROUND(Scores!AX46,$C$1)</f>
        <v>95.15</v>
      </c>
      <c r="AY46" s="64">
        <f>ROUND(Scores!AY46,$C$1)</f>
        <v>96.83</v>
      </c>
      <c r="AZ46" s="64">
        <f>ROUND(Scores!AZ46,$C$1)</f>
        <v>98.51</v>
      </c>
      <c r="BA46" s="64">
        <f>ROUND(Scores!BA46,$C$1)</f>
        <v>98.88</v>
      </c>
      <c r="BB46" s="64">
        <f>ROUND(Scores!BB46,$C$1)</f>
        <v>99.25</v>
      </c>
      <c r="BC46" s="64">
        <f>ROUND(Scores!BC46,$C$1)</f>
        <v>95.9</v>
      </c>
      <c r="BD46" s="64">
        <f>ROUND(Scores!BD46,$C$1)</f>
        <v>95.52</v>
      </c>
      <c r="BE46" s="64">
        <f>ROUND(Scores!BE46,$C$1)</f>
        <v>99.63</v>
      </c>
      <c r="BF46" s="64">
        <f>ROUND(Scores!BF46,$C$1)</f>
        <v>82.09</v>
      </c>
      <c r="BG46" s="64">
        <f>ROUND(Scores!BG46,$C$1)</f>
        <v>99.81</v>
      </c>
      <c r="BH46" s="64">
        <f>ROUND(Scores!BH46,$C$1)</f>
        <v>99.07</v>
      </c>
      <c r="BI46" s="64">
        <f>ROUND(Scores!BI46,$C$1)</f>
        <v>98.69</v>
      </c>
      <c r="BJ46" s="64">
        <f>ROUND(Scores!BJ46,$C$1)</f>
        <v>98.32</v>
      </c>
      <c r="BK46" s="64">
        <f>ROUND(Scores!BK46,$C$1)</f>
        <v>98.88</v>
      </c>
    </row>
    <row r="47" s="22" customFormat="1" spans="1:63">
      <c r="A47" s="24"/>
      <c r="B47" s="24"/>
      <c r="C47" s="24"/>
      <c r="D47" s="52"/>
      <c r="E47" s="52"/>
      <c r="F47" s="52"/>
      <c r="G47" s="52"/>
      <c r="H47" s="52"/>
      <c r="I47" s="52"/>
      <c r="J47" s="52"/>
      <c r="K47" s="54"/>
      <c r="L47" s="62" t="str">
        <f>tblIndicators!Z40</f>
        <v>3.2.4) Percent living in urban slums</v>
      </c>
      <c r="M47" s="63"/>
      <c r="N47" s="64">
        <f>ROUND(Scores!N47,$C$1)</f>
        <v>70.38</v>
      </c>
      <c r="O47" s="64">
        <f>ROUND(Scores!O47,$C$1)</f>
        <v>38.42</v>
      </c>
      <c r="P47" s="64">
        <f>ROUND(Scores!P47,$C$1)</f>
        <v>44.87</v>
      </c>
      <c r="Q47" s="64">
        <f>ROUND(Scores!Q47,$C$1)</f>
        <v>26.98</v>
      </c>
      <c r="R47" s="64">
        <f>ROUND(Scores!R47,$C$1)</f>
        <v>26.98</v>
      </c>
      <c r="S47" s="64">
        <f>ROUND(Scores!S47,$C$1)</f>
        <v>47.21</v>
      </c>
      <c r="T47" s="64">
        <f>ROUND(Scores!T47,$C$1)</f>
        <v>47.21</v>
      </c>
      <c r="U47" s="64">
        <f>ROUND(Scores!U47,$C$1)</f>
        <v>67.16</v>
      </c>
      <c r="V47" s="64">
        <f>ROUND(Scores!V47,$C$1)</f>
        <v>67.45</v>
      </c>
      <c r="W47" s="64">
        <f>ROUND(Scores!W47,$C$1)</f>
        <v>47.21</v>
      </c>
      <c r="X47" s="64">
        <f>ROUND(Scores!X47,$C$1)</f>
        <v>63.64</v>
      </c>
      <c r="Y47" s="64">
        <f>ROUND(Scores!Y47,$C$1)</f>
        <v>0</v>
      </c>
      <c r="Z47" s="64">
        <f>ROUND(Scores!Z47,$C$1)</f>
        <v>79.47</v>
      </c>
      <c r="AA47" s="64">
        <f>ROUND(Scores!AA47,$C$1)</f>
        <v>47.21</v>
      </c>
      <c r="AB47" s="64">
        <f>ROUND(Scores!AB47,$C$1)</f>
        <v>47.21</v>
      </c>
      <c r="AC47" s="64">
        <f>ROUND(Scores!AC47,$C$1)</f>
        <v>68.91</v>
      </c>
      <c r="AD47" s="64">
        <f>ROUND(Scores!AD47,$C$1)</f>
        <v>68.91</v>
      </c>
      <c r="AE47" s="64">
        <f>ROUND(Scores!AE47,$C$1)</f>
        <v>53.08</v>
      </c>
      <c r="AF47" s="64">
        <f>ROUND(Scores!AF47,$C$1)</f>
        <v>20.53</v>
      </c>
      <c r="AG47" s="64">
        <f>ROUND(Scores!AG47,$C$1)</f>
        <v>20.53</v>
      </c>
      <c r="AH47" s="64">
        <f>ROUND(Scores!AH47,$C$1)</f>
        <v>20.53</v>
      </c>
      <c r="AI47" s="64">
        <f>ROUND(Scores!AI47,$C$1)</f>
        <v>20.53</v>
      </c>
      <c r="AJ47" s="64">
        <f>ROUND(Scores!AJ47,$C$1)</f>
        <v>20.53</v>
      </c>
      <c r="AK47" s="64">
        <f>ROUND(Scores!AK47,$C$1)</f>
        <v>19.65</v>
      </c>
      <c r="AL47" s="64">
        <f>ROUND(Scores!AL47,$C$1)</f>
        <v>19.65</v>
      </c>
      <c r="AM47" s="64">
        <f>ROUND(Scores!AM47,$C$1)</f>
        <v>38.42</v>
      </c>
      <c r="AN47" s="64">
        <f>ROUND(Scores!AN47,$C$1)</f>
        <v>61.88</v>
      </c>
      <c r="AO47" s="64">
        <f>ROUND(Scores!AO47,$C$1)</f>
        <v>59.82</v>
      </c>
      <c r="AP47" s="64">
        <f>ROUND(Scores!AP47,$C$1)</f>
        <v>59.82</v>
      </c>
      <c r="AQ47" s="64">
        <f>ROUND(Scores!AQ47,$C$1)</f>
        <v>29.62</v>
      </c>
      <c r="AR47" s="64">
        <f>ROUND(Scores!AR47,$C$1)</f>
        <v>61.88</v>
      </c>
      <c r="AS47" s="64">
        <f>ROUND(Scores!AS47,$C$1)</f>
        <v>100</v>
      </c>
      <c r="AT47" s="64">
        <f>ROUND(Scores!AT47,$C$1)</f>
        <v>26.69</v>
      </c>
      <c r="AU47" s="64">
        <f>ROUND(Scores!AU47,$C$1)</f>
        <v>2.64</v>
      </c>
      <c r="AV47" s="64">
        <f>ROUND(Scores!AV47,$C$1)</f>
        <v>91.2</v>
      </c>
      <c r="AW47" s="64">
        <f>ROUND(Scores!AW47,$C$1)</f>
        <v>48.68</v>
      </c>
      <c r="AX47" s="64">
        <f>ROUND(Scores!AX47,$C$1)</f>
        <v>53.08</v>
      </c>
      <c r="AY47" s="64">
        <f>ROUND(Scores!AY47,$C$1)</f>
        <v>48.68</v>
      </c>
      <c r="AZ47" s="64">
        <f>ROUND(Scores!AZ47,$C$1)</f>
        <v>42.52</v>
      </c>
      <c r="BA47" s="64">
        <f>ROUND(Scores!BA47,$C$1)</f>
        <v>49.85</v>
      </c>
      <c r="BB47" s="64">
        <f>ROUND(Scores!BB47,$C$1)</f>
        <v>48.39</v>
      </c>
      <c r="BC47" s="64">
        <f>ROUND(Scores!BC47,$C$1)</f>
        <v>22.58</v>
      </c>
      <c r="BD47" s="64">
        <f>ROUND(Scores!BD47,$C$1)</f>
        <v>22.58</v>
      </c>
      <c r="BE47" s="64">
        <f>ROUND(Scores!BE47,$C$1)</f>
        <v>61.88</v>
      </c>
      <c r="BF47" s="64">
        <f>ROUND(Scores!BF47,$C$1)</f>
        <v>0.29</v>
      </c>
      <c r="BG47" s="64">
        <f>ROUND(Scores!BG47,$C$1)</f>
        <v>25.81</v>
      </c>
      <c r="BH47" s="64">
        <f>ROUND(Scores!BH47,$C$1)</f>
        <v>25.81</v>
      </c>
      <c r="BI47" s="64">
        <f>ROUND(Scores!BI47,$C$1)</f>
        <v>93.55</v>
      </c>
      <c r="BJ47" s="64">
        <f>ROUND(Scores!BJ47,$C$1)</f>
        <v>67.74</v>
      </c>
      <c r="BK47" s="64">
        <f>ROUND(Scores!BK47,$C$1)</f>
        <v>35.19</v>
      </c>
    </row>
    <row r="48" s="22" customFormat="1" spans="1:63">
      <c r="A48" s="24"/>
      <c r="B48" s="24"/>
      <c r="C48" s="24"/>
      <c r="D48" s="52"/>
      <c r="E48" s="52"/>
      <c r="F48" s="52"/>
      <c r="G48" s="52"/>
      <c r="H48" s="52"/>
      <c r="I48" s="52"/>
      <c r="J48" s="52"/>
      <c r="K48" s="54"/>
      <c r="L48" s="62" t="str">
        <f>tblIndicators!Z41</f>
        <v>4) PERSONAL SAFETY</v>
      </c>
      <c r="M48" s="63"/>
      <c r="N48" s="64">
        <f>ROUND(Scores!N48,$C$1)</f>
        <v>87.51</v>
      </c>
      <c r="O48" s="64">
        <f>ROUND(Scores!O48,$C$1)</f>
        <v>61.29</v>
      </c>
      <c r="P48" s="64">
        <f>ROUND(Scores!P48,$C$1)</f>
        <v>62.25</v>
      </c>
      <c r="Q48" s="64">
        <f>ROUND(Scores!Q48,$C$1)</f>
        <v>57.59</v>
      </c>
      <c r="R48" s="64">
        <f>ROUND(Scores!R48,$C$1)</f>
        <v>67.45</v>
      </c>
      <c r="S48" s="64">
        <f>ROUND(Scores!S48,$C$1)</f>
        <v>71.66</v>
      </c>
      <c r="T48" s="64">
        <f>ROUND(Scores!T48,$C$1)</f>
        <v>72.96</v>
      </c>
      <c r="U48" s="64">
        <f>ROUND(Scores!U48,$C$1)</f>
        <v>84.82</v>
      </c>
      <c r="V48" s="64">
        <f>ROUND(Scores!V48,$C$1)</f>
        <v>68.48</v>
      </c>
      <c r="W48" s="64">
        <f>ROUND(Scores!W48,$C$1)</f>
        <v>71.27</v>
      </c>
      <c r="X48" s="64">
        <f>ROUND(Scores!X48,$C$1)</f>
        <v>62.07</v>
      </c>
      <c r="Y48" s="64">
        <f>ROUND(Scores!Y48,$C$1)</f>
        <v>74.81</v>
      </c>
      <c r="Z48" s="64">
        <f>ROUND(Scores!Z48,$C$1)</f>
        <v>53.58</v>
      </c>
      <c r="AA48" s="64">
        <f>ROUND(Scores!AA48,$C$1)</f>
        <v>69.45</v>
      </c>
      <c r="AB48" s="64">
        <f>ROUND(Scores!AB48,$C$1)</f>
        <v>73.95</v>
      </c>
      <c r="AC48" s="64">
        <f>ROUND(Scores!AC48,$C$1)</f>
        <v>80.4</v>
      </c>
      <c r="AD48" s="64">
        <f>ROUND(Scores!AD48,$C$1)</f>
        <v>82.72</v>
      </c>
      <c r="AE48" s="64">
        <f>ROUND(Scores!AE48,$C$1)</f>
        <v>85.09</v>
      </c>
      <c r="AF48" s="64">
        <f>ROUND(Scores!AF48,$C$1)</f>
        <v>55.51</v>
      </c>
      <c r="AG48" s="64">
        <f>ROUND(Scores!AG48,$C$1)</f>
        <v>67.66</v>
      </c>
      <c r="AH48" s="64">
        <f>ROUND(Scores!AH48,$C$1)</f>
        <v>61.96</v>
      </c>
      <c r="AI48" s="64">
        <f>ROUND(Scores!AI48,$C$1)</f>
        <v>59.37</v>
      </c>
      <c r="AJ48" s="64">
        <f>ROUND(Scores!AJ48,$C$1)</f>
        <v>62.46</v>
      </c>
      <c r="AK48" s="64">
        <f>ROUND(Scores!AK48,$C$1)</f>
        <v>73.61</v>
      </c>
      <c r="AL48" s="64">
        <f>ROUND(Scores!AL48,$C$1)</f>
        <v>72.7</v>
      </c>
      <c r="AM48" s="64">
        <f>ROUND(Scores!AM48,$C$1)</f>
        <v>59.23</v>
      </c>
      <c r="AN48" s="64">
        <f>ROUND(Scores!AN48,$C$1)</f>
        <v>56.35</v>
      </c>
      <c r="AO48" s="64">
        <f>ROUND(Scores!AO48,$C$1)</f>
        <v>89.31</v>
      </c>
      <c r="AP48" s="64">
        <f>ROUND(Scores!AP48,$C$1)</f>
        <v>90.2</v>
      </c>
      <c r="AQ48" s="64">
        <f>ROUND(Scores!AQ48,$C$1)</f>
        <v>90.42</v>
      </c>
      <c r="AR48" s="64">
        <f>ROUND(Scores!AR48,$C$1)</f>
        <v>73.62</v>
      </c>
      <c r="AS48" s="64">
        <f>ROUND(Scores!AS48,$C$1)</f>
        <v>85.67</v>
      </c>
      <c r="AT48" s="64">
        <f>ROUND(Scores!AT48,$C$1)</f>
        <v>70.97</v>
      </c>
      <c r="AU48" s="64">
        <f>ROUND(Scores!AU48,$C$1)</f>
        <v>65.62</v>
      </c>
      <c r="AV48" s="64">
        <f>ROUND(Scores!AV48,$C$1)</f>
        <v>59.47</v>
      </c>
      <c r="AW48" s="64">
        <f>ROUND(Scores!AW48,$C$1)</f>
        <v>76.41</v>
      </c>
      <c r="AX48" s="64">
        <f>ROUND(Scores!AX48,$C$1)</f>
        <v>60.26</v>
      </c>
      <c r="AY48" s="64">
        <f>ROUND(Scores!AY48,$C$1)</f>
        <v>67.39</v>
      </c>
      <c r="AZ48" s="64">
        <f>ROUND(Scores!AZ48,$C$1)</f>
        <v>60.31</v>
      </c>
      <c r="BA48" s="64">
        <f>ROUND(Scores!BA48,$C$1)</f>
        <v>71.29</v>
      </c>
      <c r="BB48" s="64">
        <f>ROUND(Scores!BB48,$C$1)</f>
        <v>74.57</v>
      </c>
      <c r="BC48" s="64">
        <f>ROUND(Scores!BC48,$C$1)</f>
        <v>60.94</v>
      </c>
      <c r="BD48" s="64">
        <f>ROUND(Scores!BD48,$C$1)</f>
        <v>70.87</v>
      </c>
      <c r="BE48" s="64">
        <f>ROUND(Scores!BE48,$C$1)</f>
        <v>82.39</v>
      </c>
      <c r="BF48" s="64">
        <f>ROUND(Scores!BF48,$C$1)</f>
        <v>55.27</v>
      </c>
      <c r="BG48" s="64">
        <f>ROUND(Scores!BG48,$C$1)</f>
        <v>65.81</v>
      </c>
      <c r="BH48" s="64">
        <f>ROUND(Scores!BH48,$C$1)</f>
        <v>78.36</v>
      </c>
      <c r="BI48" s="64">
        <f>ROUND(Scores!BI48,$C$1)</f>
        <v>76.62</v>
      </c>
      <c r="BJ48" s="64">
        <f>ROUND(Scores!BJ48,$C$1)</f>
        <v>73.7</v>
      </c>
      <c r="BK48" s="64">
        <f>ROUND(Scores!BK48,$C$1)</f>
        <v>77.35</v>
      </c>
    </row>
    <row r="49" s="22" customFormat="1" spans="1:63">
      <c r="A49" s="24"/>
      <c r="B49" s="24"/>
      <c r="C49" s="24"/>
      <c r="D49" s="52"/>
      <c r="E49" s="52"/>
      <c r="F49" s="52"/>
      <c r="G49" s="52"/>
      <c r="H49" s="52"/>
      <c r="I49" s="52"/>
      <c r="J49" s="52"/>
      <c r="K49" s="54"/>
      <c r="L49" s="62" t="str">
        <f>tblIndicators!Z42</f>
        <v>4.1) Personal Safety (Inputs)</v>
      </c>
      <c r="M49" s="63"/>
      <c r="N49" s="64">
        <f>ROUND(Scores!N49,$C$1)</f>
        <v>84.29</v>
      </c>
      <c r="O49" s="64">
        <f>ROUND(Scores!O49,$C$1)</f>
        <v>67.62</v>
      </c>
      <c r="P49" s="64">
        <f>ROUND(Scores!P49,$C$1)</f>
        <v>65.95</v>
      </c>
      <c r="Q49" s="64">
        <f>ROUND(Scores!Q49,$C$1)</f>
        <v>52.14</v>
      </c>
      <c r="R49" s="64">
        <f>ROUND(Scores!R49,$C$1)</f>
        <v>73.57</v>
      </c>
      <c r="S49" s="64">
        <f>ROUND(Scores!S49,$C$1)</f>
        <v>90.48</v>
      </c>
      <c r="T49" s="64">
        <f>ROUND(Scores!T49,$C$1)</f>
        <v>90.48</v>
      </c>
      <c r="U49" s="64">
        <f>ROUND(Scores!U49,$C$1)</f>
        <v>93.33</v>
      </c>
      <c r="V49" s="64">
        <f>ROUND(Scores!V49,$C$1)</f>
        <v>64.76</v>
      </c>
      <c r="W49" s="64">
        <f>ROUND(Scores!W49,$C$1)</f>
        <v>89.76</v>
      </c>
      <c r="X49" s="64">
        <f>ROUND(Scores!X49,$C$1)</f>
        <v>71.9</v>
      </c>
      <c r="Y49" s="64">
        <f>ROUND(Scores!Y49,$C$1)</f>
        <v>80.48</v>
      </c>
      <c r="Z49" s="64">
        <f>ROUND(Scores!Z49,$C$1)</f>
        <v>51.43</v>
      </c>
      <c r="AA49" s="64">
        <f>ROUND(Scores!AA49,$C$1)</f>
        <v>88.81</v>
      </c>
      <c r="AB49" s="64">
        <f>ROUND(Scores!AB49,$C$1)</f>
        <v>95</v>
      </c>
      <c r="AC49" s="64">
        <f>ROUND(Scores!AC49,$C$1)</f>
        <v>95</v>
      </c>
      <c r="AD49" s="64">
        <f>ROUND(Scores!AD49,$C$1)</f>
        <v>95</v>
      </c>
      <c r="AE49" s="64">
        <f>ROUND(Scores!AE49,$C$1)</f>
        <v>92.62</v>
      </c>
      <c r="AF49" s="64">
        <f>ROUND(Scores!AF49,$C$1)</f>
        <v>49.29</v>
      </c>
      <c r="AG49" s="64">
        <f>ROUND(Scores!AG49,$C$1)</f>
        <v>70.71</v>
      </c>
      <c r="AH49" s="64">
        <f>ROUND(Scores!AH49,$C$1)</f>
        <v>56.43</v>
      </c>
      <c r="AI49" s="64">
        <f>ROUND(Scores!AI49,$C$1)</f>
        <v>56.43</v>
      </c>
      <c r="AJ49" s="64">
        <f>ROUND(Scores!AJ49,$C$1)</f>
        <v>56.43</v>
      </c>
      <c r="AK49" s="64">
        <f>ROUND(Scores!AK49,$C$1)</f>
        <v>75.24</v>
      </c>
      <c r="AL49" s="64">
        <f>ROUND(Scores!AL49,$C$1)</f>
        <v>75.24</v>
      </c>
      <c r="AM49" s="64">
        <f>ROUND(Scores!AM49,$C$1)</f>
        <v>56.19</v>
      </c>
      <c r="AN49" s="64">
        <f>ROUND(Scores!AN49,$C$1)</f>
        <v>46.19</v>
      </c>
      <c r="AO49" s="64">
        <f>ROUND(Scores!AO49,$C$1)</f>
        <v>96.19</v>
      </c>
      <c r="AP49" s="64">
        <f>ROUND(Scores!AP49,$C$1)</f>
        <v>96.19</v>
      </c>
      <c r="AQ49" s="64">
        <f>ROUND(Scores!AQ49,$C$1)</f>
        <v>94.76</v>
      </c>
      <c r="AR49" s="64">
        <f>ROUND(Scores!AR49,$C$1)</f>
        <v>69.29</v>
      </c>
      <c r="AS49" s="64">
        <f>ROUND(Scores!AS49,$C$1)</f>
        <v>94.52</v>
      </c>
      <c r="AT49" s="64">
        <f>ROUND(Scores!AT49,$C$1)</f>
        <v>74.76</v>
      </c>
      <c r="AU49" s="64">
        <f>ROUND(Scores!AU49,$C$1)</f>
        <v>57.14</v>
      </c>
      <c r="AV49" s="64">
        <f>ROUND(Scores!AV49,$C$1)</f>
        <v>33.57</v>
      </c>
      <c r="AW49" s="64">
        <f>ROUND(Scores!AW49,$C$1)</f>
        <v>81.19</v>
      </c>
      <c r="AX49" s="64">
        <f>ROUND(Scores!AX49,$C$1)</f>
        <v>35</v>
      </c>
      <c r="AY49" s="64">
        <f>ROUND(Scores!AY49,$C$1)</f>
        <v>50</v>
      </c>
      <c r="AZ49" s="64">
        <f>ROUND(Scores!AZ49,$C$1)</f>
        <v>47.38</v>
      </c>
      <c r="BA49" s="64">
        <f>ROUND(Scores!BA49,$C$1)</f>
        <v>73.1</v>
      </c>
      <c r="BB49" s="64">
        <f>ROUND(Scores!BB49,$C$1)</f>
        <v>77.14</v>
      </c>
      <c r="BC49" s="64">
        <f>ROUND(Scores!BC49,$C$1)</f>
        <v>59.05</v>
      </c>
      <c r="BD49" s="64">
        <f>ROUND(Scores!BD49,$C$1)</f>
        <v>73.33</v>
      </c>
      <c r="BE49" s="64">
        <f>ROUND(Scores!BE49,$C$1)</f>
        <v>92.38</v>
      </c>
      <c r="BF49" s="64">
        <f>ROUND(Scores!BF49,$C$1)</f>
        <v>34.52</v>
      </c>
      <c r="BG49" s="64">
        <f>ROUND(Scores!BG49,$C$1)</f>
        <v>70</v>
      </c>
      <c r="BH49" s="64">
        <f>ROUND(Scores!BH49,$C$1)</f>
        <v>91.43</v>
      </c>
      <c r="BI49" s="64">
        <f>ROUND(Scores!BI49,$C$1)</f>
        <v>71.19</v>
      </c>
      <c r="BJ49" s="64">
        <f>ROUND(Scores!BJ49,$C$1)</f>
        <v>79.76</v>
      </c>
      <c r="BK49" s="64">
        <f>ROUND(Scores!BK49,$C$1)</f>
        <v>93.33</v>
      </c>
    </row>
    <row r="50" s="22" customFormat="1" spans="1:63">
      <c r="A50" s="24"/>
      <c r="B50" s="24"/>
      <c r="C50" s="24"/>
      <c r="D50" s="52"/>
      <c r="E50" s="52"/>
      <c r="F50" s="52"/>
      <c r="G50" s="52"/>
      <c r="H50" s="52"/>
      <c r="I50" s="52"/>
      <c r="J50" s="52"/>
      <c r="K50" s="54"/>
      <c r="L50" s="62" t="str">
        <f>tblIndicators!Z43</f>
        <v>4.1.1) Level of police engagement</v>
      </c>
      <c r="M50" s="63"/>
      <c r="N50" s="64">
        <f>ROUND(Scores!N50,$C$1)</f>
        <v>100</v>
      </c>
      <c r="O50" s="64">
        <f>ROUND(Scores!O50,$C$1)</f>
        <v>100</v>
      </c>
      <c r="P50" s="64">
        <f>ROUND(Scores!P50,$C$1)</f>
        <v>50</v>
      </c>
      <c r="Q50" s="64">
        <f>ROUND(Scores!Q50,$C$1)</f>
        <v>50</v>
      </c>
      <c r="R50" s="64">
        <f>ROUND(Scores!R50,$C$1)</f>
        <v>100</v>
      </c>
      <c r="S50" s="64">
        <f>ROUND(Scores!S50,$C$1)</f>
        <v>100</v>
      </c>
      <c r="T50" s="64">
        <f>ROUND(Scores!T50,$C$1)</f>
        <v>100</v>
      </c>
      <c r="U50" s="64">
        <f>ROUND(Scores!U50,$C$1)</f>
        <v>100</v>
      </c>
      <c r="V50" s="64">
        <f>ROUND(Scores!V50,$C$1)</f>
        <v>100</v>
      </c>
      <c r="W50" s="64">
        <f>ROUND(Scores!W50,$C$1)</f>
        <v>100</v>
      </c>
      <c r="X50" s="64">
        <f>ROUND(Scores!X50,$C$1)</f>
        <v>100</v>
      </c>
      <c r="Y50" s="64">
        <f>ROUND(Scores!Y50,$C$1)</f>
        <v>100</v>
      </c>
      <c r="Z50" s="64">
        <f>ROUND(Scores!Z50,$C$1)</f>
        <v>50</v>
      </c>
      <c r="AA50" s="64">
        <f>ROUND(Scores!AA50,$C$1)</f>
        <v>100</v>
      </c>
      <c r="AB50" s="64">
        <f>ROUND(Scores!AB50,$C$1)</f>
        <v>100</v>
      </c>
      <c r="AC50" s="64">
        <f>ROUND(Scores!AC50,$C$1)</f>
        <v>100</v>
      </c>
      <c r="AD50" s="64">
        <f>ROUND(Scores!AD50,$C$1)</f>
        <v>100</v>
      </c>
      <c r="AE50" s="64">
        <f>ROUND(Scores!AE50,$C$1)</f>
        <v>100</v>
      </c>
      <c r="AF50" s="64">
        <f>ROUND(Scores!AF50,$C$1)</f>
        <v>100</v>
      </c>
      <c r="AG50" s="64">
        <f>ROUND(Scores!AG50,$C$1)</f>
        <v>50</v>
      </c>
      <c r="AH50" s="64">
        <f>ROUND(Scores!AH50,$C$1)</f>
        <v>50</v>
      </c>
      <c r="AI50" s="64">
        <f>ROUND(Scores!AI50,$C$1)</f>
        <v>50</v>
      </c>
      <c r="AJ50" s="64">
        <f>ROUND(Scores!AJ50,$C$1)</f>
        <v>50</v>
      </c>
      <c r="AK50" s="64">
        <f>ROUND(Scores!AK50,$C$1)</f>
        <v>100</v>
      </c>
      <c r="AL50" s="64">
        <f>ROUND(Scores!AL50,$C$1)</f>
        <v>100</v>
      </c>
      <c r="AM50" s="64">
        <f>ROUND(Scores!AM50,$C$1)</f>
        <v>50</v>
      </c>
      <c r="AN50" s="64">
        <f>ROUND(Scores!AN50,$C$1)</f>
        <v>50</v>
      </c>
      <c r="AO50" s="64">
        <f>ROUND(Scores!AO50,$C$1)</f>
        <v>100</v>
      </c>
      <c r="AP50" s="64">
        <f>ROUND(Scores!AP50,$C$1)</f>
        <v>100</v>
      </c>
      <c r="AQ50" s="64">
        <f>ROUND(Scores!AQ50,$C$1)</f>
        <v>100</v>
      </c>
      <c r="AR50" s="64">
        <f>ROUND(Scores!AR50,$C$1)</f>
        <v>50</v>
      </c>
      <c r="AS50" s="64">
        <f>ROUND(Scores!AS50,$C$1)</f>
        <v>100</v>
      </c>
      <c r="AT50" s="64">
        <f>ROUND(Scores!AT50,$C$1)</f>
        <v>50</v>
      </c>
      <c r="AU50" s="64">
        <f>ROUND(Scores!AU50,$C$1)</f>
        <v>50</v>
      </c>
      <c r="AV50" s="64">
        <f>ROUND(Scores!AV50,$C$1)</f>
        <v>100</v>
      </c>
      <c r="AW50" s="64">
        <f>ROUND(Scores!AW50,$C$1)</f>
        <v>50</v>
      </c>
      <c r="AX50" s="64">
        <f>ROUND(Scores!AX50,$C$1)</f>
        <v>100</v>
      </c>
      <c r="AY50" s="64">
        <f>ROUND(Scores!AY50,$C$1)</f>
        <v>50</v>
      </c>
      <c r="AZ50" s="64">
        <f>ROUND(Scores!AZ50,$C$1)</f>
        <v>100</v>
      </c>
      <c r="BA50" s="64">
        <f>ROUND(Scores!BA50,$C$1)</f>
        <v>100</v>
      </c>
      <c r="BB50" s="64">
        <f>ROUND(Scores!BB50,$C$1)</f>
        <v>100</v>
      </c>
      <c r="BC50" s="64">
        <f>ROUND(Scores!BC50,$C$1)</f>
        <v>100</v>
      </c>
      <c r="BD50" s="64">
        <f>ROUND(Scores!BD50,$C$1)</f>
        <v>100</v>
      </c>
      <c r="BE50" s="64">
        <f>ROUND(Scores!BE50,$C$1)</f>
        <v>100</v>
      </c>
      <c r="BF50" s="64">
        <f>ROUND(Scores!BF50,$C$1)</f>
        <v>50</v>
      </c>
      <c r="BG50" s="64">
        <f>ROUND(Scores!BG50,$C$1)</f>
        <v>50</v>
      </c>
      <c r="BH50" s="64">
        <f>ROUND(Scores!BH50,$C$1)</f>
        <v>100</v>
      </c>
      <c r="BI50" s="64">
        <f>ROUND(Scores!BI50,$C$1)</f>
        <v>100</v>
      </c>
      <c r="BJ50" s="64">
        <f>ROUND(Scores!BJ50,$C$1)</f>
        <v>100</v>
      </c>
      <c r="BK50" s="64">
        <f>ROUND(Scores!BK50,$C$1)</f>
        <v>100</v>
      </c>
    </row>
    <row r="51" s="22" customFormat="1" spans="1:63">
      <c r="A51" s="24"/>
      <c r="B51" s="24"/>
      <c r="C51" s="24"/>
      <c r="D51" s="52"/>
      <c r="E51" s="52"/>
      <c r="F51" s="52"/>
      <c r="G51" s="52"/>
      <c r="H51" s="52"/>
      <c r="I51" s="52"/>
      <c r="J51" s="52"/>
      <c r="K51" s="54"/>
      <c r="L51" s="62" t="str">
        <f>tblIndicators!Z44</f>
        <v>4.1.2) Community-based patrolling</v>
      </c>
      <c r="M51" s="63"/>
      <c r="N51" s="64">
        <f>ROUND(Scores!N51,$C$1)</f>
        <v>100</v>
      </c>
      <c r="O51" s="64">
        <f>ROUND(Scores!O51,$C$1)</f>
        <v>100</v>
      </c>
      <c r="P51" s="64">
        <f>ROUND(Scores!P51,$C$1)</f>
        <v>100</v>
      </c>
      <c r="Q51" s="64">
        <f>ROUND(Scores!Q51,$C$1)</f>
        <v>100</v>
      </c>
      <c r="R51" s="64">
        <f>ROUND(Scores!R51,$C$1)</f>
        <v>100</v>
      </c>
      <c r="S51" s="64">
        <f>ROUND(Scores!S51,$C$1)</f>
        <v>100</v>
      </c>
      <c r="T51" s="64">
        <f>ROUND(Scores!T51,$C$1)</f>
        <v>100</v>
      </c>
      <c r="U51" s="64">
        <f>ROUND(Scores!U51,$C$1)</f>
        <v>100</v>
      </c>
      <c r="V51" s="64">
        <f>ROUND(Scores!V51,$C$1)</f>
        <v>100</v>
      </c>
      <c r="W51" s="64">
        <f>ROUND(Scores!W51,$C$1)</f>
        <v>100</v>
      </c>
      <c r="X51" s="64">
        <f>ROUND(Scores!X51,$C$1)</f>
        <v>100</v>
      </c>
      <c r="Y51" s="64">
        <f>ROUND(Scores!Y51,$C$1)</f>
        <v>100</v>
      </c>
      <c r="Z51" s="64">
        <f>ROUND(Scores!Z51,$C$1)</f>
        <v>100</v>
      </c>
      <c r="AA51" s="64">
        <f>ROUND(Scores!AA51,$C$1)</f>
        <v>100</v>
      </c>
      <c r="AB51" s="64">
        <f>ROUND(Scores!AB51,$C$1)</f>
        <v>100</v>
      </c>
      <c r="AC51" s="64">
        <f>ROUND(Scores!AC51,$C$1)</f>
        <v>100</v>
      </c>
      <c r="AD51" s="64">
        <f>ROUND(Scores!AD51,$C$1)</f>
        <v>100</v>
      </c>
      <c r="AE51" s="64">
        <f>ROUND(Scores!AE51,$C$1)</f>
        <v>100</v>
      </c>
      <c r="AF51" s="64">
        <f>ROUND(Scores!AF51,$C$1)</f>
        <v>100</v>
      </c>
      <c r="AG51" s="64">
        <f>ROUND(Scores!AG51,$C$1)</f>
        <v>100</v>
      </c>
      <c r="AH51" s="64">
        <f>ROUND(Scores!AH51,$C$1)</f>
        <v>100</v>
      </c>
      <c r="AI51" s="64">
        <f>ROUND(Scores!AI51,$C$1)</f>
        <v>100</v>
      </c>
      <c r="AJ51" s="64">
        <f>ROUND(Scores!AJ51,$C$1)</f>
        <v>100</v>
      </c>
      <c r="AK51" s="64">
        <f>ROUND(Scores!AK51,$C$1)</f>
        <v>100</v>
      </c>
      <c r="AL51" s="64">
        <f>ROUND(Scores!AL51,$C$1)</f>
        <v>100</v>
      </c>
      <c r="AM51" s="64">
        <f>ROUND(Scores!AM51,$C$1)</f>
        <v>100</v>
      </c>
      <c r="AN51" s="64">
        <f>ROUND(Scores!AN51,$C$1)</f>
        <v>0</v>
      </c>
      <c r="AO51" s="64">
        <f>ROUND(Scores!AO51,$C$1)</f>
        <v>100</v>
      </c>
      <c r="AP51" s="64">
        <f>ROUND(Scores!AP51,$C$1)</f>
        <v>100</v>
      </c>
      <c r="AQ51" s="64">
        <f>ROUND(Scores!AQ51,$C$1)</f>
        <v>100</v>
      </c>
      <c r="AR51" s="64">
        <f>ROUND(Scores!AR51,$C$1)</f>
        <v>100</v>
      </c>
      <c r="AS51" s="64">
        <f>ROUND(Scores!AS51,$C$1)</f>
        <v>100</v>
      </c>
      <c r="AT51" s="64">
        <f>ROUND(Scores!AT51,$C$1)</f>
        <v>100</v>
      </c>
      <c r="AU51" s="64">
        <f>ROUND(Scores!AU51,$C$1)</f>
        <v>100</v>
      </c>
      <c r="AV51" s="64">
        <f>ROUND(Scores!AV51,$C$1)</f>
        <v>0</v>
      </c>
      <c r="AW51" s="64">
        <f>ROUND(Scores!AW51,$C$1)</f>
        <v>100</v>
      </c>
      <c r="AX51" s="64">
        <f>ROUND(Scores!AX51,$C$1)</f>
        <v>0</v>
      </c>
      <c r="AY51" s="64">
        <f>ROUND(Scores!AY51,$C$1)</f>
        <v>100</v>
      </c>
      <c r="AZ51" s="64">
        <f>ROUND(Scores!AZ51,$C$1)</f>
        <v>100</v>
      </c>
      <c r="BA51" s="64">
        <f>ROUND(Scores!BA51,$C$1)</f>
        <v>100</v>
      </c>
      <c r="BB51" s="64">
        <f>ROUND(Scores!BB51,$C$1)</f>
        <v>100</v>
      </c>
      <c r="BC51" s="64">
        <f>ROUND(Scores!BC51,$C$1)</f>
        <v>100</v>
      </c>
      <c r="BD51" s="64">
        <f>ROUND(Scores!BD51,$C$1)</f>
        <v>100</v>
      </c>
      <c r="BE51" s="64">
        <f>ROUND(Scores!BE51,$C$1)</f>
        <v>100</v>
      </c>
      <c r="BF51" s="64">
        <f>ROUND(Scores!BF51,$C$1)</f>
        <v>100</v>
      </c>
      <c r="BG51" s="64">
        <f>ROUND(Scores!BG51,$C$1)</f>
        <v>100</v>
      </c>
      <c r="BH51" s="64">
        <f>ROUND(Scores!BH51,$C$1)</f>
        <v>100</v>
      </c>
      <c r="BI51" s="64">
        <f>ROUND(Scores!BI51,$C$1)</f>
        <v>100</v>
      </c>
      <c r="BJ51" s="64">
        <f>ROUND(Scores!BJ51,$C$1)</f>
        <v>100</v>
      </c>
      <c r="BK51" s="64">
        <f>ROUND(Scores!BK51,$C$1)</f>
        <v>100</v>
      </c>
    </row>
    <row r="52" s="22" customFormat="1" spans="1:63">
      <c r="A52" s="24"/>
      <c r="B52" s="24"/>
      <c r="C52" s="24"/>
      <c r="D52" s="52"/>
      <c r="E52" s="52"/>
      <c r="F52" s="52"/>
      <c r="G52" s="52"/>
      <c r="H52" s="52"/>
      <c r="I52" s="52"/>
      <c r="J52" s="52"/>
      <c r="K52" s="54"/>
      <c r="L52" s="62" t="str">
        <f>tblIndicators!Z45</f>
        <v>4.1.3) Availability of street-level crime data</v>
      </c>
      <c r="M52" s="63"/>
      <c r="N52" s="64">
        <f>ROUND(Scores!N52,$C$1)</f>
        <v>100</v>
      </c>
      <c r="O52" s="64">
        <f>ROUND(Scores!O52,$C$1)</f>
        <v>100</v>
      </c>
      <c r="P52" s="64">
        <f>ROUND(Scores!P52,$C$1)</f>
        <v>0</v>
      </c>
      <c r="Q52" s="64">
        <f>ROUND(Scores!Q52,$C$1)</f>
        <v>0</v>
      </c>
      <c r="R52" s="64">
        <f>ROUND(Scores!R52,$C$1)</f>
        <v>100</v>
      </c>
      <c r="S52" s="64">
        <f>ROUND(Scores!S52,$C$1)</f>
        <v>100</v>
      </c>
      <c r="T52" s="64">
        <f>ROUND(Scores!T52,$C$1)</f>
        <v>100</v>
      </c>
      <c r="U52" s="64">
        <f>ROUND(Scores!U52,$C$1)</f>
        <v>100</v>
      </c>
      <c r="V52" s="64">
        <f>ROUND(Scores!V52,$C$1)</f>
        <v>100</v>
      </c>
      <c r="W52" s="64">
        <f>ROUND(Scores!W52,$C$1)</f>
        <v>100</v>
      </c>
      <c r="X52" s="64">
        <f>ROUND(Scores!X52,$C$1)</f>
        <v>0</v>
      </c>
      <c r="Y52" s="64">
        <f>ROUND(Scores!Y52,$C$1)</f>
        <v>100</v>
      </c>
      <c r="Z52" s="64">
        <f>ROUND(Scores!Z52,$C$1)</f>
        <v>0</v>
      </c>
      <c r="AA52" s="64">
        <f>ROUND(Scores!AA52,$C$1)</f>
        <v>100</v>
      </c>
      <c r="AB52" s="64">
        <f>ROUND(Scores!AB52,$C$1)</f>
        <v>100</v>
      </c>
      <c r="AC52" s="64">
        <f>ROUND(Scores!AC52,$C$1)</f>
        <v>100</v>
      </c>
      <c r="AD52" s="64">
        <f>ROUND(Scores!AD52,$C$1)</f>
        <v>100</v>
      </c>
      <c r="AE52" s="64">
        <f>ROUND(Scores!AE52,$C$1)</f>
        <v>100</v>
      </c>
      <c r="AF52" s="64">
        <f>ROUND(Scores!AF52,$C$1)</f>
        <v>0</v>
      </c>
      <c r="AG52" s="64">
        <f>ROUND(Scores!AG52,$C$1)</f>
        <v>0</v>
      </c>
      <c r="AH52" s="64">
        <f>ROUND(Scores!AH52,$C$1)</f>
        <v>0</v>
      </c>
      <c r="AI52" s="64">
        <f>ROUND(Scores!AI52,$C$1)</f>
        <v>0</v>
      </c>
      <c r="AJ52" s="64">
        <f>ROUND(Scores!AJ52,$C$1)</f>
        <v>0</v>
      </c>
      <c r="AK52" s="64">
        <f>ROUND(Scores!AK52,$C$1)</f>
        <v>100</v>
      </c>
      <c r="AL52" s="64">
        <f>ROUND(Scores!AL52,$C$1)</f>
        <v>0</v>
      </c>
      <c r="AM52" s="64">
        <f>ROUND(Scores!AM52,$C$1)</f>
        <v>100</v>
      </c>
      <c r="AN52" s="64">
        <f>ROUND(Scores!AN52,$C$1)</f>
        <v>0</v>
      </c>
      <c r="AO52" s="64">
        <f>ROUND(Scores!AO52,$C$1)</f>
        <v>100</v>
      </c>
      <c r="AP52" s="64">
        <f>ROUND(Scores!AP52,$C$1)</f>
        <v>100</v>
      </c>
      <c r="AQ52" s="64">
        <f>ROUND(Scores!AQ52,$C$1)</f>
        <v>100</v>
      </c>
      <c r="AR52" s="64">
        <f>ROUND(Scores!AR52,$C$1)</f>
        <v>0</v>
      </c>
      <c r="AS52" s="64">
        <f>ROUND(Scores!AS52,$C$1)</f>
        <v>100</v>
      </c>
      <c r="AT52" s="64">
        <f>ROUND(Scores!AT52,$C$1)</f>
        <v>100</v>
      </c>
      <c r="AU52" s="64">
        <f>ROUND(Scores!AU52,$C$1)</f>
        <v>0</v>
      </c>
      <c r="AV52" s="64">
        <f>ROUND(Scores!AV52,$C$1)</f>
        <v>0</v>
      </c>
      <c r="AW52" s="64">
        <f>ROUND(Scores!AW52,$C$1)</f>
        <v>100</v>
      </c>
      <c r="AX52" s="64">
        <f>ROUND(Scores!AX52,$C$1)</f>
        <v>0</v>
      </c>
      <c r="AY52" s="64">
        <f>ROUND(Scores!AY52,$C$1)</f>
        <v>100</v>
      </c>
      <c r="AZ52" s="64">
        <f>ROUND(Scores!AZ52,$C$1)</f>
        <v>0</v>
      </c>
      <c r="BA52" s="64">
        <f>ROUND(Scores!BA52,$C$1)</f>
        <v>100</v>
      </c>
      <c r="BB52" s="64">
        <f>ROUND(Scores!BB52,$C$1)</f>
        <v>100</v>
      </c>
      <c r="BC52" s="64">
        <f>ROUND(Scores!BC52,$C$1)</f>
        <v>100</v>
      </c>
      <c r="BD52" s="64">
        <f>ROUND(Scores!BD52,$C$1)</f>
        <v>100</v>
      </c>
      <c r="BE52" s="64">
        <f>ROUND(Scores!BE52,$C$1)</f>
        <v>100</v>
      </c>
      <c r="BF52" s="64">
        <f>ROUND(Scores!BF52,$C$1)</f>
        <v>0</v>
      </c>
      <c r="BG52" s="64">
        <f>ROUND(Scores!BG52,$C$1)</f>
        <v>100</v>
      </c>
      <c r="BH52" s="64">
        <f>ROUND(Scores!BH52,$C$1)</f>
        <v>100</v>
      </c>
      <c r="BI52" s="64">
        <f>ROUND(Scores!BI52,$C$1)</f>
        <v>100</v>
      </c>
      <c r="BJ52" s="64">
        <f>ROUND(Scores!BJ52,$C$1)</f>
        <v>100</v>
      </c>
      <c r="BK52" s="64">
        <f>ROUND(Scores!BK52,$C$1)</f>
        <v>100</v>
      </c>
    </row>
    <row r="53" s="22" customFormat="1" spans="1:63">
      <c r="A53" s="24"/>
      <c r="B53" s="24"/>
      <c r="C53" s="24"/>
      <c r="D53" s="52"/>
      <c r="E53" s="52"/>
      <c r="F53" s="52"/>
      <c r="G53" s="52"/>
      <c r="H53" s="52"/>
      <c r="I53" s="52"/>
      <c r="J53" s="52"/>
      <c r="K53" s="54"/>
      <c r="L53" s="62" t="str">
        <f>tblIndicators!Z46</f>
        <v>4.1.4) Use of data-driven techniques for crime</v>
      </c>
      <c r="M53" s="63"/>
      <c r="N53" s="64">
        <f>ROUND(Scores!N53,$C$1)</f>
        <v>100</v>
      </c>
      <c r="O53" s="64">
        <f>ROUND(Scores!O53,$C$1)</f>
        <v>0</v>
      </c>
      <c r="P53" s="64">
        <f>ROUND(Scores!P53,$C$1)</f>
        <v>100</v>
      </c>
      <c r="Q53" s="64">
        <f>ROUND(Scores!Q53,$C$1)</f>
        <v>0</v>
      </c>
      <c r="R53" s="64">
        <f>ROUND(Scores!R53,$C$1)</f>
        <v>0</v>
      </c>
      <c r="S53" s="64">
        <f>ROUND(Scores!S53,$C$1)</f>
        <v>100</v>
      </c>
      <c r="T53" s="64">
        <f>ROUND(Scores!T53,$C$1)</f>
        <v>100</v>
      </c>
      <c r="U53" s="64">
        <f>ROUND(Scores!U53,$C$1)</f>
        <v>100</v>
      </c>
      <c r="V53" s="64">
        <f>ROUND(Scores!V53,$C$1)</f>
        <v>0</v>
      </c>
      <c r="W53" s="64">
        <f>ROUND(Scores!W53,$C$1)</f>
        <v>100</v>
      </c>
      <c r="X53" s="64">
        <f>ROUND(Scores!X53,$C$1)</f>
        <v>100</v>
      </c>
      <c r="Y53" s="64">
        <f>ROUND(Scores!Y53,$C$1)</f>
        <v>100</v>
      </c>
      <c r="Z53" s="64">
        <f>ROUND(Scores!Z53,$C$1)</f>
        <v>100</v>
      </c>
      <c r="AA53" s="64">
        <f>ROUND(Scores!AA53,$C$1)</f>
        <v>100</v>
      </c>
      <c r="AB53" s="64">
        <f>ROUND(Scores!AB53,$C$1)</f>
        <v>100</v>
      </c>
      <c r="AC53" s="64">
        <f>ROUND(Scores!AC53,$C$1)</f>
        <v>100</v>
      </c>
      <c r="AD53" s="64">
        <f>ROUND(Scores!AD53,$C$1)</f>
        <v>100</v>
      </c>
      <c r="AE53" s="64">
        <f>ROUND(Scores!AE53,$C$1)</f>
        <v>100</v>
      </c>
      <c r="AF53" s="64">
        <f>ROUND(Scores!AF53,$C$1)</f>
        <v>0</v>
      </c>
      <c r="AG53" s="64">
        <f>ROUND(Scores!AG53,$C$1)</f>
        <v>100</v>
      </c>
      <c r="AH53" s="64">
        <f>ROUND(Scores!AH53,$C$1)</f>
        <v>0</v>
      </c>
      <c r="AI53" s="64">
        <f>ROUND(Scores!AI53,$C$1)</f>
        <v>0</v>
      </c>
      <c r="AJ53" s="64">
        <f>ROUND(Scores!AJ53,$C$1)</f>
        <v>0</v>
      </c>
      <c r="AK53" s="64">
        <f>ROUND(Scores!AK53,$C$1)</f>
        <v>100</v>
      </c>
      <c r="AL53" s="64">
        <f>ROUND(Scores!AL53,$C$1)</f>
        <v>100</v>
      </c>
      <c r="AM53" s="64">
        <f>ROUND(Scores!AM53,$C$1)</f>
        <v>0</v>
      </c>
      <c r="AN53" s="64">
        <f>ROUND(Scores!AN53,$C$1)</f>
        <v>100</v>
      </c>
      <c r="AO53" s="64">
        <f>ROUND(Scores!AO53,$C$1)</f>
        <v>100</v>
      </c>
      <c r="AP53" s="64">
        <f>ROUND(Scores!AP53,$C$1)</f>
        <v>100</v>
      </c>
      <c r="AQ53" s="64">
        <f>ROUND(Scores!AQ53,$C$1)</f>
        <v>100</v>
      </c>
      <c r="AR53" s="64">
        <f>ROUND(Scores!AR53,$C$1)</f>
        <v>100</v>
      </c>
      <c r="AS53" s="64">
        <f>ROUND(Scores!AS53,$C$1)</f>
        <v>100</v>
      </c>
      <c r="AT53" s="64">
        <f>ROUND(Scores!AT53,$C$1)</f>
        <v>100</v>
      </c>
      <c r="AU53" s="64">
        <f>ROUND(Scores!AU53,$C$1)</f>
        <v>0</v>
      </c>
      <c r="AV53" s="64">
        <f>ROUND(Scores!AV53,$C$1)</f>
        <v>0</v>
      </c>
      <c r="AW53" s="64">
        <f>ROUND(Scores!AW53,$C$1)</f>
        <v>100</v>
      </c>
      <c r="AX53" s="64">
        <f>ROUND(Scores!AX53,$C$1)</f>
        <v>100</v>
      </c>
      <c r="AY53" s="64">
        <f>ROUND(Scores!AY53,$C$1)</f>
        <v>0</v>
      </c>
      <c r="AZ53" s="64">
        <f>ROUND(Scores!AZ53,$C$1)</f>
        <v>0</v>
      </c>
      <c r="BA53" s="64">
        <f>ROUND(Scores!BA53,$C$1)</f>
        <v>100</v>
      </c>
      <c r="BB53" s="64">
        <f>ROUND(Scores!BB53,$C$1)</f>
        <v>100</v>
      </c>
      <c r="BC53" s="64">
        <f>ROUND(Scores!BC53,$C$1)</f>
        <v>0</v>
      </c>
      <c r="BD53" s="64">
        <f>ROUND(Scores!BD53,$C$1)</f>
        <v>100</v>
      </c>
      <c r="BE53" s="64">
        <f>ROUND(Scores!BE53,$C$1)</f>
        <v>100</v>
      </c>
      <c r="BF53" s="64">
        <f>ROUND(Scores!BF53,$C$1)</f>
        <v>0</v>
      </c>
      <c r="BG53" s="64">
        <f>ROUND(Scores!BG53,$C$1)</f>
        <v>0</v>
      </c>
      <c r="BH53" s="64">
        <f>ROUND(Scores!BH53,$C$1)</f>
        <v>100</v>
      </c>
      <c r="BI53" s="64">
        <f>ROUND(Scores!BI53,$C$1)</f>
        <v>0</v>
      </c>
      <c r="BJ53" s="64">
        <f>ROUND(Scores!BJ53,$C$1)</f>
        <v>100</v>
      </c>
      <c r="BK53" s="64">
        <f>ROUND(Scores!BK53,$C$1)</f>
        <v>100</v>
      </c>
    </row>
    <row r="54" s="22" customFormat="1" spans="1:63">
      <c r="A54" s="24"/>
      <c r="B54" s="24"/>
      <c r="C54" s="24"/>
      <c r="D54" s="52"/>
      <c r="E54" s="52"/>
      <c r="F54" s="52"/>
      <c r="G54" s="52"/>
      <c r="H54" s="52"/>
      <c r="I54" s="52"/>
      <c r="J54" s="52"/>
      <c r="K54" s="54"/>
      <c r="L54" s="62" t="str">
        <f>tblIndicators!Z47</f>
        <v>4.1.5) Private security measures</v>
      </c>
      <c r="M54" s="63"/>
      <c r="N54" s="64">
        <f>ROUND(Scores!N54,$C$1)</f>
        <v>100</v>
      </c>
      <c r="O54" s="64">
        <f>ROUND(Scores!O54,$C$1)</f>
        <v>100</v>
      </c>
      <c r="P54" s="64">
        <f>ROUND(Scores!P54,$C$1)</f>
        <v>100</v>
      </c>
      <c r="Q54" s="64">
        <f>ROUND(Scores!Q54,$C$1)</f>
        <v>100</v>
      </c>
      <c r="R54" s="64">
        <f>ROUND(Scores!R54,$C$1)</f>
        <v>100</v>
      </c>
      <c r="S54" s="64">
        <f>ROUND(Scores!S54,$C$1)</f>
        <v>100</v>
      </c>
      <c r="T54" s="64">
        <f>ROUND(Scores!T54,$C$1)</f>
        <v>100</v>
      </c>
      <c r="U54" s="64">
        <f>ROUND(Scores!U54,$C$1)</f>
        <v>100</v>
      </c>
      <c r="V54" s="64">
        <f>ROUND(Scores!V54,$C$1)</f>
        <v>0</v>
      </c>
      <c r="W54" s="64">
        <f>ROUND(Scores!W54,$C$1)</f>
        <v>100</v>
      </c>
      <c r="X54" s="64">
        <f>ROUND(Scores!X54,$C$1)</f>
        <v>100</v>
      </c>
      <c r="Y54" s="64">
        <f>ROUND(Scores!Y54,$C$1)</f>
        <v>100</v>
      </c>
      <c r="Z54" s="64">
        <f>ROUND(Scores!Z54,$C$1)</f>
        <v>0</v>
      </c>
      <c r="AA54" s="64">
        <f>ROUND(Scores!AA54,$C$1)</f>
        <v>100</v>
      </c>
      <c r="AB54" s="64">
        <f>ROUND(Scores!AB54,$C$1)</f>
        <v>100</v>
      </c>
      <c r="AC54" s="64">
        <f>ROUND(Scores!AC54,$C$1)</f>
        <v>100</v>
      </c>
      <c r="AD54" s="64">
        <f>ROUND(Scores!AD54,$C$1)</f>
        <v>100</v>
      </c>
      <c r="AE54" s="64">
        <f>ROUND(Scores!AE54,$C$1)</f>
        <v>100</v>
      </c>
      <c r="AF54" s="64">
        <f>ROUND(Scores!AF54,$C$1)</f>
        <v>0</v>
      </c>
      <c r="AG54" s="64">
        <f>ROUND(Scores!AG54,$C$1)</f>
        <v>100</v>
      </c>
      <c r="AH54" s="64">
        <f>ROUND(Scores!AH54,$C$1)</f>
        <v>100</v>
      </c>
      <c r="AI54" s="64">
        <f>ROUND(Scores!AI54,$C$1)</f>
        <v>100</v>
      </c>
      <c r="AJ54" s="64">
        <f>ROUND(Scores!AJ54,$C$1)</f>
        <v>100</v>
      </c>
      <c r="AK54" s="64">
        <f>ROUND(Scores!AK54,$C$1)</f>
        <v>0</v>
      </c>
      <c r="AL54" s="64">
        <f>ROUND(Scores!AL54,$C$1)</f>
        <v>100</v>
      </c>
      <c r="AM54" s="64">
        <f>ROUND(Scores!AM54,$C$1)</f>
        <v>0</v>
      </c>
      <c r="AN54" s="64">
        <f>ROUND(Scores!AN54,$C$1)</f>
        <v>100</v>
      </c>
      <c r="AO54" s="64">
        <f>ROUND(Scores!AO54,$C$1)</f>
        <v>100</v>
      </c>
      <c r="AP54" s="64">
        <f>ROUND(Scores!AP54,$C$1)</f>
        <v>100</v>
      </c>
      <c r="AQ54" s="64">
        <f>ROUND(Scores!AQ54,$C$1)</f>
        <v>100</v>
      </c>
      <c r="AR54" s="64">
        <f>ROUND(Scores!AR54,$C$1)</f>
        <v>100</v>
      </c>
      <c r="AS54" s="64">
        <f>ROUND(Scores!AS54,$C$1)</f>
        <v>100</v>
      </c>
      <c r="AT54" s="64">
        <f>ROUND(Scores!AT54,$C$1)</f>
        <v>100</v>
      </c>
      <c r="AU54" s="64">
        <f>ROUND(Scores!AU54,$C$1)</f>
        <v>100</v>
      </c>
      <c r="AV54" s="64">
        <f>ROUND(Scores!AV54,$C$1)</f>
        <v>0</v>
      </c>
      <c r="AW54" s="64">
        <f>ROUND(Scores!AW54,$C$1)</f>
        <v>100</v>
      </c>
      <c r="AX54" s="64">
        <f>ROUND(Scores!AX54,$C$1)</f>
        <v>0</v>
      </c>
      <c r="AY54" s="64">
        <f>ROUND(Scores!AY54,$C$1)</f>
        <v>0</v>
      </c>
      <c r="AZ54" s="64">
        <f>ROUND(Scores!AZ54,$C$1)</f>
        <v>0</v>
      </c>
      <c r="BA54" s="64">
        <f>ROUND(Scores!BA54,$C$1)</f>
        <v>0</v>
      </c>
      <c r="BB54" s="64">
        <f>ROUND(Scores!BB54,$C$1)</f>
        <v>0</v>
      </c>
      <c r="BC54" s="64">
        <f>ROUND(Scores!BC54,$C$1)</f>
        <v>0</v>
      </c>
      <c r="BD54" s="64">
        <f>ROUND(Scores!BD54,$C$1)</f>
        <v>0</v>
      </c>
      <c r="BE54" s="64">
        <f>ROUND(Scores!BE54,$C$1)</f>
        <v>100</v>
      </c>
      <c r="BF54" s="64">
        <f>ROUND(Scores!BF54,$C$1)</f>
        <v>0</v>
      </c>
      <c r="BG54" s="64">
        <f>ROUND(Scores!BG54,$C$1)</f>
        <v>100</v>
      </c>
      <c r="BH54" s="64">
        <f>ROUND(Scores!BH54,$C$1)</f>
        <v>100</v>
      </c>
      <c r="BI54" s="64">
        <f>ROUND(Scores!BI54,$C$1)</f>
        <v>100</v>
      </c>
      <c r="BJ54" s="64">
        <f>ROUND(Scores!BJ54,$C$1)</f>
        <v>100</v>
      </c>
      <c r="BK54" s="64">
        <f>ROUND(Scores!BK54,$C$1)</f>
        <v>100</v>
      </c>
    </row>
    <row r="55" s="22" customFormat="1" spans="1:63">
      <c r="A55" s="24"/>
      <c r="B55" s="24"/>
      <c r="C55" s="24"/>
      <c r="D55" s="52"/>
      <c r="E55" s="52"/>
      <c r="F55" s="52"/>
      <c r="G55" s="52"/>
      <c r="H55" s="52"/>
      <c r="I55" s="52"/>
      <c r="J55" s="52"/>
      <c r="K55" s="54"/>
      <c r="L55" s="62" t="str">
        <f>tblIndicators!Z48</f>
        <v>4.1.6) Gun regulation and enforcement</v>
      </c>
      <c r="M55" s="63"/>
      <c r="N55" s="64">
        <f>ROUND(Scores!N55,$C$1)</f>
        <v>55</v>
      </c>
      <c r="O55" s="64">
        <f>ROUND(Scores!O55,$C$1)</f>
        <v>8.33</v>
      </c>
      <c r="P55" s="64">
        <f>ROUND(Scores!P55,$C$1)</f>
        <v>66.67</v>
      </c>
      <c r="Q55" s="64">
        <f>ROUND(Scores!Q55,$C$1)</f>
        <v>50</v>
      </c>
      <c r="R55" s="64">
        <f>ROUND(Scores!R55,$C$1)</f>
        <v>50</v>
      </c>
      <c r="S55" s="64">
        <f>ROUND(Scores!S55,$C$1)</f>
        <v>43.33</v>
      </c>
      <c r="T55" s="64">
        <f>ROUND(Scores!T55,$C$1)</f>
        <v>43.33</v>
      </c>
      <c r="U55" s="64">
        <f>ROUND(Scores!U55,$C$1)</f>
        <v>58.33</v>
      </c>
      <c r="V55" s="64">
        <f>ROUND(Scores!V55,$C$1)</f>
        <v>58.33</v>
      </c>
      <c r="W55" s="64">
        <f>ROUND(Scores!W55,$C$1)</f>
        <v>38.33</v>
      </c>
      <c r="X55" s="64">
        <f>ROUND(Scores!X55,$C$1)</f>
        <v>43.33</v>
      </c>
      <c r="Y55" s="64">
        <f>ROUND(Scores!Y55,$C$1)</f>
        <v>8.33</v>
      </c>
      <c r="Z55" s="64">
        <f>ROUND(Scores!Z55,$C$1)</f>
        <v>30</v>
      </c>
      <c r="AA55" s="64">
        <f>ROUND(Scores!AA55,$C$1)</f>
        <v>31.67</v>
      </c>
      <c r="AB55" s="64">
        <f>ROUND(Scores!AB55,$C$1)</f>
        <v>75</v>
      </c>
      <c r="AC55" s="64">
        <f>ROUND(Scores!AC55,$C$1)</f>
        <v>75</v>
      </c>
      <c r="AD55" s="64">
        <f>ROUND(Scores!AD55,$C$1)</f>
        <v>75</v>
      </c>
      <c r="AE55" s="64">
        <f>ROUND(Scores!AE55,$C$1)</f>
        <v>83.33</v>
      </c>
      <c r="AF55" s="64">
        <f>ROUND(Scores!AF55,$C$1)</f>
        <v>100</v>
      </c>
      <c r="AG55" s="64">
        <f>ROUND(Scores!AG55,$C$1)</f>
        <v>100</v>
      </c>
      <c r="AH55" s="64">
        <f>ROUND(Scores!AH55,$C$1)</f>
        <v>100</v>
      </c>
      <c r="AI55" s="64">
        <f>ROUND(Scores!AI55,$C$1)</f>
        <v>100</v>
      </c>
      <c r="AJ55" s="64">
        <f>ROUND(Scores!AJ55,$C$1)</f>
        <v>100</v>
      </c>
      <c r="AK55" s="64">
        <f>ROUND(Scores!AK55,$C$1)</f>
        <v>46.67</v>
      </c>
      <c r="AL55" s="64">
        <f>ROUND(Scores!AL55,$C$1)</f>
        <v>46.67</v>
      </c>
      <c r="AM55" s="64">
        <f>ROUND(Scores!AM55,$C$1)</f>
        <v>73.33</v>
      </c>
      <c r="AN55" s="64">
        <f>ROUND(Scores!AN55,$C$1)</f>
        <v>48.33</v>
      </c>
      <c r="AO55" s="64">
        <f>ROUND(Scores!AO55,$C$1)</f>
        <v>83.33</v>
      </c>
      <c r="AP55" s="64">
        <f>ROUND(Scores!AP55,$C$1)</f>
        <v>83.33</v>
      </c>
      <c r="AQ55" s="64">
        <f>ROUND(Scores!AQ55,$C$1)</f>
        <v>83.33</v>
      </c>
      <c r="AR55" s="64">
        <f>ROUND(Scores!AR55,$C$1)</f>
        <v>75</v>
      </c>
      <c r="AS55" s="64">
        <f>ROUND(Scores!AS55,$C$1)</f>
        <v>91.67</v>
      </c>
      <c r="AT55" s="64">
        <f>ROUND(Scores!AT55,$C$1)</f>
        <v>38.33</v>
      </c>
      <c r="AU55" s="64">
        <f>ROUND(Scores!AU55,$C$1)</f>
        <v>100</v>
      </c>
      <c r="AV55" s="64">
        <f>ROUND(Scores!AV55,$C$1)</f>
        <v>95</v>
      </c>
      <c r="AW55" s="64">
        <f>ROUND(Scores!AW55,$C$1)</f>
        <v>58.33</v>
      </c>
      <c r="AX55" s="64">
        <f>ROUND(Scores!AX55,$C$1)</f>
        <v>0</v>
      </c>
      <c r="AY55" s="64">
        <f>ROUND(Scores!AY55,$C$1)</f>
        <v>45</v>
      </c>
      <c r="AZ55" s="64">
        <f>ROUND(Scores!AZ55,$C$1)</f>
        <v>56.67</v>
      </c>
      <c r="BA55" s="64">
        <f>ROUND(Scores!BA55,$C$1)</f>
        <v>41.67</v>
      </c>
      <c r="BB55" s="64">
        <f>ROUND(Scores!BB55,$C$1)</f>
        <v>55</v>
      </c>
      <c r="BC55" s="64">
        <f>ROUND(Scores!BC55,$C$1)</f>
        <v>48.33</v>
      </c>
      <c r="BD55" s="64">
        <f>ROUND(Scores!BD55,$C$1)</f>
        <v>48.33</v>
      </c>
      <c r="BE55" s="64">
        <f>ROUND(Scores!BE55,$C$1)</f>
        <v>66.67</v>
      </c>
      <c r="BF55" s="64">
        <f>ROUND(Scores!BF55,$C$1)</f>
        <v>56.67</v>
      </c>
      <c r="BG55" s="64">
        <f>ROUND(Scores!BG55,$C$1)</f>
        <v>65</v>
      </c>
      <c r="BH55" s="64">
        <f>ROUND(Scores!BH55,$C$1)</f>
        <v>65</v>
      </c>
      <c r="BI55" s="64">
        <f>ROUND(Scores!BI55,$C$1)</f>
        <v>8.33</v>
      </c>
      <c r="BJ55" s="64">
        <f>ROUND(Scores!BJ55,$C$1)</f>
        <v>13.33</v>
      </c>
      <c r="BK55" s="64">
        <f>ROUND(Scores!BK55,$C$1)</f>
        <v>83.33</v>
      </c>
    </row>
    <row r="56" s="22" customFormat="1" spans="1:63">
      <c r="A56" s="24"/>
      <c r="B56" s="24"/>
      <c r="C56" s="24"/>
      <c r="D56" s="52"/>
      <c r="E56" s="52"/>
      <c r="F56" s="52"/>
      <c r="G56" s="52"/>
      <c r="H56" s="52"/>
      <c r="I56" s="52"/>
      <c r="J56" s="52"/>
      <c r="K56" s="54"/>
      <c r="L56" s="62" t="str">
        <f>tblIndicators!Z49</f>
        <v>4.1.7) Political Stability Risk</v>
      </c>
      <c r="M56" s="63"/>
      <c r="N56" s="64">
        <f>ROUND(Scores!N56,$C$1)</f>
        <v>35</v>
      </c>
      <c r="O56" s="64">
        <f>ROUND(Scores!O56,$C$1)</f>
        <v>65</v>
      </c>
      <c r="P56" s="64">
        <f>ROUND(Scores!P56,$C$1)</f>
        <v>45</v>
      </c>
      <c r="Q56" s="64">
        <f>ROUND(Scores!Q56,$C$1)</f>
        <v>65</v>
      </c>
      <c r="R56" s="64">
        <f>ROUND(Scores!R56,$C$1)</f>
        <v>65</v>
      </c>
      <c r="S56" s="64">
        <f>ROUND(Scores!S56,$C$1)</f>
        <v>90</v>
      </c>
      <c r="T56" s="64">
        <f>ROUND(Scores!T56,$C$1)</f>
        <v>90</v>
      </c>
      <c r="U56" s="64">
        <f>ROUND(Scores!U56,$C$1)</f>
        <v>95</v>
      </c>
      <c r="V56" s="64">
        <f>ROUND(Scores!V56,$C$1)</f>
        <v>95</v>
      </c>
      <c r="W56" s="64">
        <f>ROUND(Scores!W56,$C$1)</f>
        <v>90</v>
      </c>
      <c r="X56" s="64">
        <f>ROUND(Scores!X56,$C$1)</f>
        <v>60</v>
      </c>
      <c r="Y56" s="64">
        <f>ROUND(Scores!Y56,$C$1)</f>
        <v>55</v>
      </c>
      <c r="Z56" s="64">
        <f>ROUND(Scores!Z56,$C$1)</f>
        <v>80</v>
      </c>
      <c r="AA56" s="64">
        <f>ROUND(Scores!AA56,$C$1)</f>
        <v>90</v>
      </c>
      <c r="AB56" s="64">
        <f>ROUND(Scores!AB56,$C$1)</f>
        <v>90</v>
      </c>
      <c r="AC56" s="64">
        <f>ROUND(Scores!AC56,$C$1)</f>
        <v>90</v>
      </c>
      <c r="AD56" s="64">
        <f>ROUND(Scores!AD56,$C$1)</f>
        <v>90</v>
      </c>
      <c r="AE56" s="64">
        <f>ROUND(Scores!AE56,$C$1)</f>
        <v>65</v>
      </c>
      <c r="AF56" s="64">
        <f>ROUND(Scores!AF56,$C$1)</f>
        <v>45</v>
      </c>
      <c r="AG56" s="64">
        <f>ROUND(Scores!AG56,$C$1)</f>
        <v>45</v>
      </c>
      <c r="AH56" s="64">
        <f>ROUND(Scores!AH56,$C$1)</f>
        <v>45</v>
      </c>
      <c r="AI56" s="64">
        <f>ROUND(Scores!AI56,$C$1)</f>
        <v>45</v>
      </c>
      <c r="AJ56" s="64">
        <f>ROUND(Scores!AJ56,$C$1)</f>
        <v>45</v>
      </c>
      <c r="AK56" s="64">
        <f>ROUND(Scores!AK56,$C$1)</f>
        <v>80</v>
      </c>
      <c r="AL56" s="64">
        <f>ROUND(Scores!AL56,$C$1)</f>
        <v>80</v>
      </c>
      <c r="AM56" s="64">
        <f>ROUND(Scores!AM56,$C$1)</f>
        <v>70</v>
      </c>
      <c r="AN56" s="64">
        <f>ROUND(Scores!AN56,$C$1)</f>
        <v>25</v>
      </c>
      <c r="AO56" s="64">
        <f>ROUND(Scores!AO56,$C$1)</f>
        <v>90</v>
      </c>
      <c r="AP56" s="64">
        <f>ROUND(Scores!AP56,$C$1)</f>
        <v>90</v>
      </c>
      <c r="AQ56" s="64">
        <f>ROUND(Scores!AQ56,$C$1)</f>
        <v>80</v>
      </c>
      <c r="AR56" s="64">
        <f>ROUND(Scores!AR56,$C$1)</f>
        <v>60</v>
      </c>
      <c r="AS56" s="64">
        <f>ROUND(Scores!AS56,$C$1)</f>
        <v>70</v>
      </c>
      <c r="AT56" s="64">
        <f>ROUND(Scores!AT56,$C$1)</f>
        <v>35</v>
      </c>
      <c r="AU56" s="64">
        <f>ROUND(Scores!AU56,$C$1)</f>
        <v>50</v>
      </c>
      <c r="AV56" s="64">
        <f>ROUND(Scores!AV56,$C$1)</f>
        <v>40</v>
      </c>
      <c r="AW56" s="64">
        <f>ROUND(Scores!AW56,$C$1)</f>
        <v>60</v>
      </c>
      <c r="AX56" s="64">
        <f>ROUND(Scores!AX56,$C$1)</f>
        <v>45</v>
      </c>
      <c r="AY56" s="64">
        <f>ROUND(Scores!AY56,$C$1)</f>
        <v>55</v>
      </c>
      <c r="AZ56" s="64">
        <f>ROUND(Scores!AZ56,$C$1)</f>
        <v>75</v>
      </c>
      <c r="BA56" s="64">
        <f>ROUND(Scores!BA56,$C$1)</f>
        <v>70</v>
      </c>
      <c r="BB56" s="64">
        <f>ROUND(Scores!BB56,$C$1)</f>
        <v>85</v>
      </c>
      <c r="BC56" s="64">
        <f>ROUND(Scores!BC56,$C$1)</f>
        <v>65</v>
      </c>
      <c r="BD56" s="64">
        <f>ROUND(Scores!BD56,$C$1)</f>
        <v>65</v>
      </c>
      <c r="BE56" s="64">
        <f>ROUND(Scores!BE56,$C$1)</f>
        <v>80</v>
      </c>
      <c r="BF56" s="64">
        <f>ROUND(Scores!BF56,$C$1)</f>
        <v>35</v>
      </c>
      <c r="BG56" s="64">
        <f>ROUND(Scores!BG56,$C$1)</f>
        <v>75</v>
      </c>
      <c r="BH56" s="64">
        <f>ROUND(Scores!BH56,$C$1)</f>
        <v>75</v>
      </c>
      <c r="BI56" s="64">
        <f>ROUND(Scores!BI56,$C$1)</f>
        <v>90</v>
      </c>
      <c r="BJ56" s="64">
        <f>ROUND(Scores!BJ56,$C$1)</f>
        <v>45</v>
      </c>
      <c r="BK56" s="64">
        <f>ROUND(Scores!BK56,$C$1)</f>
        <v>70</v>
      </c>
    </row>
    <row r="57" s="22" customFormat="1" spans="1:63">
      <c r="A57" s="24"/>
      <c r="B57" s="24"/>
      <c r="C57" s="24"/>
      <c r="D57" s="52"/>
      <c r="E57" s="52"/>
      <c r="F57" s="52"/>
      <c r="G57" s="52"/>
      <c r="H57" s="52"/>
      <c r="I57" s="52"/>
      <c r="J57" s="52"/>
      <c r="K57" s="54"/>
      <c r="L57" s="62" t="str">
        <f>tblIndicators!Z50</f>
        <v>4.2) Personal Safety (Outputs)</v>
      </c>
      <c r="M57" s="63"/>
      <c r="N57" s="64">
        <f>ROUND(Scores!N57,$C$1)</f>
        <v>90.73</v>
      </c>
      <c r="O57" s="64">
        <f>ROUND(Scores!O57,$C$1)</f>
        <v>54.96</v>
      </c>
      <c r="P57" s="64">
        <f>ROUND(Scores!P57,$C$1)</f>
        <v>58.54</v>
      </c>
      <c r="Q57" s="64">
        <f>ROUND(Scores!Q57,$C$1)</f>
        <v>63.05</v>
      </c>
      <c r="R57" s="64">
        <f>ROUND(Scores!R57,$C$1)</f>
        <v>61.32</v>
      </c>
      <c r="S57" s="64">
        <f>ROUND(Scores!S57,$C$1)</f>
        <v>52.84</v>
      </c>
      <c r="T57" s="64">
        <f>ROUND(Scores!T57,$C$1)</f>
        <v>55.44</v>
      </c>
      <c r="U57" s="64">
        <f>ROUND(Scores!U57,$C$1)</f>
        <v>76.31</v>
      </c>
      <c r="V57" s="64">
        <f>ROUND(Scores!V57,$C$1)</f>
        <v>72.2</v>
      </c>
      <c r="W57" s="64">
        <f>ROUND(Scores!W57,$C$1)</f>
        <v>52.77</v>
      </c>
      <c r="X57" s="64">
        <f>ROUND(Scores!X57,$C$1)</f>
        <v>52.23</v>
      </c>
      <c r="Y57" s="64">
        <f>ROUND(Scores!Y57,$C$1)</f>
        <v>69.14</v>
      </c>
      <c r="Z57" s="64">
        <f>ROUND(Scores!Z57,$C$1)</f>
        <v>55.73</v>
      </c>
      <c r="AA57" s="64">
        <f>ROUND(Scores!AA57,$C$1)</f>
        <v>50.08</v>
      </c>
      <c r="AB57" s="64">
        <f>ROUND(Scores!AB57,$C$1)</f>
        <v>52.89</v>
      </c>
      <c r="AC57" s="64">
        <f>ROUND(Scores!AC57,$C$1)</f>
        <v>65.81</v>
      </c>
      <c r="AD57" s="64">
        <f>ROUND(Scores!AD57,$C$1)</f>
        <v>70.44</v>
      </c>
      <c r="AE57" s="64">
        <f>ROUND(Scores!AE57,$C$1)</f>
        <v>77.57</v>
      </c>
      <c r="AF57" s="64">
        <f>ROUND(Scores!AF57,$C$1)</f>
        <v>61.73</v>
      </c>
      <c r="AG57" s="64">
        <f>ROUND(Scores!AG57,$C$1)</f>
        <v>64.6</v>
      </c>
      <c r="AH57" s="64">
        <f>ROUND(Scores!AH57,$C$1)</f>
        <v>67.5</v>
      </c>
      <c r="AI57" s="64">
        <f>ROUND(Scores!AI57,$C$1)</f>
        <v>62.3</v>
      </c>
      <c r="AJ57" s="64">
        <f>ROUND(Scores!AJ57,$C$1)</f>
        <v>68.49</v>
      </c>
      <c r="AK57" s="64">
        <f>ROUND(Scores!AK57,$C$1)</f>
        <v>71.99</v>
      </c>
      <c r="AL57" s="64">
        <f>ROUND(Scores!AL57,$C$1)</f>
        <v>70.16</v>
      </c>
      <c r="AM57" s="64">
        <f>ROUND(Scores!AM57,$C$1)</f>
        <v>62.28</v>
      </c>
      <c r="AN57" s="64">
        <f>ROUND(Scores!AN57,$C$1)</f>
        <v>66.51</v>
      </c>
      <c r="AO57" s="64">
        <f>ROUND(Scores!AO57,$C$1)</f>
        <v>82.42</v>
      </c>
      <c r="AP57" s="64">
        <f>ROUND(Scores!AP57,$C$1)</f>
        <v>84.2</v>
      </c>
      <c r="AQ57" s="64">
        <f>ROUND(Scores!AQ57,$C$1)</f>
        <v>86.08</v>
      </c>
      <c r="AR57" s="64">
        <f>ROUND(Scores!AR57,$C$1)</f>
        <v>77.95</v>
      </c>
      <c r="AS57" s="64">
        <f>ROUND(Scores!AS57,$C$1)</f>
        <v>76.82</v>
      </c>
      <c r="AT57" s="64">
        <f>ROUND(Scores!AT57,$C$1)</f>
        <v>67.18</v>
      </c>
      <c r="AU57" s="64">
        <f>ROUND(Scores!AU57,$C$1)</f>
        <v>74.09</v>
      </c>
      <c r="AV57" s="64">
        <f>ROUND(Scores!AV57,$C$1)</f>
        <v>85.38</v>
      </c>
      <c r="AW57" s="64">
        <f>ROUND(Scores!AW57,$C$1)</f>
        <v>71.62</v>
      </c>
      <c r="AX57" s="64">
        <f>ROUND(Scores!AX57,$C$1)</f>
        <v>85.53</v>
      </c>
      <c r="AY57" s="64">
        <f>ROUND(Scores!AY57,$C$1)</f>
        <v>84.77</v>
      </c>
      <c r="AZ57" s="64">
        <f>ROUND(Scores!AZ57,$C$1)</f>
        <v>73.23</v>
      </c>
      <c r="BA57" s="64">
        <f>ROUND(Scores!BA57,$C$1)</f>
        <v>69.48</v>
      </c>
      <c r="BB57" s="64">
        <f>ROUND(Scores!BB57,$C$1)</f>
        <v>71.99</v>
      </c>
      <c r="BC57" s="64">
        <f>ROUND(Scores!BC57,$C$1)</f>
        <v>62.83</v>
      </c>
      <c r="BD57" s="64">
        <f>ROUND(Scores!BD57,$C$1)</f>
        <v>68.4</v>
      </c>
      <c r="BE57" s="64">
        <f>ROUND(Scores!BE57,$C$1)</f>
        <v>72.39</v>
      </c>
      <c r="BF57" s="64">
        <f>ROUND(Scores!BF57,$C$1)</f>
        <v>76.02</v>
      </c>
      <c r="BG57" s="64">
        <f>ROUND(Scores!BG57,$C$1)</f>
        <v>61.62</v>
      </c>
      <c r="BH57" s="64">
        <f>ROUND(Scores!BH57,$C$1)</f>
        <v>65.3</v>
      </c>
      <c r="BI57" s="64">
        <f>ROUND(Scores!BI57,$C$1)</f>
        <v>82.06</v>
      </c>
      <c r="BJ57" s="64">
        <f>ROUND(Scores!BJ57,$C$1)</f>
        <v>67.64</v>
      </c>
      <c r="BK57" s="64">
        <f>ROUND(Scores!BK57,$C$1)</f>
        <v>61.36</v>
      </c>
    </row>
    <row r="58" s="22" customFormat="1" spans="1:63">
      <c r="A58" s="24"/>
      <c r="B58" s="24"/>
      <c r="C58" s="24"/>
      <c r="D58" s="52"/>
      <c r="E58" s="52"/>
      <c r="F58" s="52"/>
      <c r="G58" s="52"/>
      <c r="H58" s="52"/>
      <c r="I58" s="52"/>
      <c r="J58" s="52"/>
      <c r="K58" s="54"/>
      <c r="L58" s="62" t="str">
        <f>tblIndicators!Z51</f>
        <v>4.2.1) Prevalence of petty crime</v>
      </c>
      <c r="M58" s="63"/>
      <c r="N58" s="64">
        <f>ROUND(Scores!N58,$C$1)</f>
        <v>100</v>
      </c>
      <c r="O58" s="64">
        <f>ROUND(Scores!O58,$C$1)</f>
        <v>0</v>
      </c>
      <c r="P58" s="64">
        <f>ROUND(Scores!P58,$C$1)</f>
        <v>50</v>
      </c>
      <c r="Q58" s="64">
        <f>ROUND(Scores!Q58,$C$1)</f>
        <v>25</v>
      </c>
      <c r="R58" s="64">
        <f>ROUND(Scores!R58,$C$1)</f>
        <v>25</v>
      </c>
      <c r="S58" s="64">
        <f>ROUND(Scores!S58,$C$1)</f>
        <v>75</v>
      </c>
      <c r="T58" s="64">
        <f>ROUND(Scores!T58,$C$1)</f>
        <v>75</v>
      </c>
      <c r="U58" s="64">
        <f>ROUND(Scores!U58,$C$1)</f>
        <v>100</v>
      </c>
      <c r="V58" s="64">
        <f>ROUND(Scores!V58,$C$1)</f>
        <v>75</v>
      </c>
      <c r="W58" s="64">
        <f>ROUND(Scores!W58,$C$1)</f>
        <v>75</v>
      </c>
      <c r="X58" s="64">
        <f>ROUND(Scores!X58,$C$1)</f>
        <v>0</v>
      </c>
      <c r="Y58" s="64">
        <f>ROUND(Scores!Y58,$C$1)</f>
        <v>50</v>
      </c>
      <c r="Z58" s="64">
        <f>ROUND(Scores!Z58,$C$1)</f>
        <v>50</v>
      </c>
      <c r="AA58" s="64">
        <f>ROUND(Scores!AA58,$C$1)</f>
        <v>50</v>
      </c>
      <c r="AB58" s="64">
        <f>ROUND(Scores!AB58,$C$1)</f>
        <v>75</v>
      </c>
      <c r="AC58" s="64">
        <f>ROUND(Scores!AC58,$C$1)</f>
        <v>75</v>
      </c>
      <c r="AD58" s="64">
        <f>ROUND(Scores!AD58,$C$1)</f>
        <v>75</v>
      </c>
      <c r="AE58" s="64">
        <f>ROUND(Scores!AE58,$C$1)</f>
        <v>75</v>
      </c>
      <c r="AF58" s="64">
        <f>ROUND(Scores!AF58,$C$1)</f>
        <v>50</v>
      </c>
      <c r="AG58" s="64">
        <f>ROUND(Scores!AG58,$C$1)</f>
        <v>50</v>
      </c>
      <c r="AH58" s="64">
        <f>ROUND(Scores!AH58,$C$1)</f>
        <v>75</v>
      </c>
      <c r="AI58" s="64">
        <f>ROUND(Scores!AI58,$C$1)</f>
        <v>50</v>
      </c>
      <c r="AJ58" s="64">
        <f>ROUND(Scores!AJ58,$C$1)</f>
        <v>75</v>
      </c>
      <c r="AK58" s="64">
        <f>ROUND(Scores!AK58,$C$1)</f>
        <v>25</v>
      </c>
      <c r="AL58" s="64">
        <f>ROUND(Scores!AL58,$C$1)</f>
        <v>50</v>
      </c>
      <c r="AM58" s="64">
        <f>ROUND(Scores!AM58,$C$1)</f>
        <v>25</v>
      </c>
      <c r="AN58" s="64">
        <f>ROUND(Scores!AN58,$C$1)</f>
        <v>50</v>
      </c>
      <c r="AO58" s="64">
        <f>ROUND(Scores!AO58,$C$1)</f>
        <v>75</v>
      </c>
      <c r="AP58" s="64">
        <f>ROUND(Scores!AP58,$C$1)</f>
        <v>75</v>
      </c>
      <c r="AQ58" s="64">
        <f>ROUND(Scores!AQ58,$C$1)</f>
        <v>100</v>
      </c>
      <c r="AR58" s="64">
        <f>ROUND(Scores!AR58,$C$1)</f>
        <v>75</v>
      </c>
      <c r="AS58" s="64">
        <f>ROUND(Scores!AS58,$C$1)</f>
        <v>75</v>
      </c>
      <c r="AT58" s="64">
        <f>ROUND(Scores!AT58,$C$1)</f>
        <v>50</v>
      </c>
      <c r="AU58" s="64">
        <f>ROUND(Scores!AU58,$C$1)</f>
        <v>25</v>
      </c>
      <c r="AV58" s="64">
        <f>ROUND(Scores!AV58,$C$1)</f>
        <v>75</v>
      </c>
      <c r="AW58" s="64">
        <f>ROUND(Scores!AW58,$C$1)</f>
        <v>75</v>
      </c>
      <c r="AX58" s="64">
        <f>ROUND(Scores!AX58,$C$1)</f>
        <v>75</v>
      </c>
      <c r="AY58" s="64">
        <f>ROUND(Scores!AY58,$C$1)</f>
        <v>75</v>
      </c>
      <c r="AZ58" s="64">
        <f>ROUND(Scores!AZ58,$C$1)</f>
        <v>75</v>
      </c>
      <c r="BA58" s="64">
        <f>ROUND(Scores!BA58,$C$1)</f>
        <v>75</v>
      </c>
      <c r="BB58" s="64">
        <f>ROUND(Scores!BB58,$C$1)</f>
        <v>75</v>
      </c>
      <c r="BC58" s="64">
        <f>ROUND(Scores!BC58,$C$1)</f>
        <v>50</v>
      </c>
      <c r="BD58" s="64">
        <f>ROUND(Scores!BD58,$C$1)</f>
        <v>75</v>
      </c>
      <c r="BE58" s="64">
        <f>ROUND(Scores!BE58,$C$1)</f>
        <v>50</v>
      </c>
      <c r="BF58" s="64">
        <f>ROUND(Scores!BF58,$C$1)</f>
        <v>50</v>
      </c>
      <c r="BG58" s="64">
        <f>ROUND(Scores!BG58,$C$1)</f>
        <v>75</v>
      </c>
      <c r="BH58" s="64">
        <f>ROUND(Scores!BH58,$C$1)</f>
        <v>75</v>
      </c>
      <c r="BI58" s="64">
        <f>ROUND(Scores!BI58,$C$1)</f>
        <v>75</v>
      </c>
      <c r="BJ58" s="64">
        <f>ROUND(Scores!BJ58,$C$1)</f>
        <v>50</v>
      </c>
      <c r="BK58" s="64">
        <f>ROUND(Scores!BK58,$C$1)</f>
        <v>50</v>
      </c>
    </row>
    <row r="59" s="22" customFormat="1" spans="1:63">
      <c r="A59" s="24"/>
      <c r="B59" s="24"/>
      <c r="C59" s="24"/>
      <c r="D59" s="52"/>
      <c r="E59" s="52"/>
      <c r="F59" s="52"/>
      <c r="G59" s="52"/>
      <c r="H59" s="52"/>
      <c r="I59" s="52"/>
      <c r="J59" s="52"/>
      <c r="K59" s="54"/>
      <c r="L59" s="62" t="str">
        <f>tblIndicators!Z52</f>
        <v>4.2.2) Prevalence of violence crime</v>
      </c>
      <c r="M59" s="63"/>
      <c r="N59" s="64">
        <f>ROUND(Scores!N59,$C$1)</f>
        <v>100</v>
      </c>
      <c r="O59" s="64">
        <f>ROUND(Scores!O59,$C$1)</f>
        <v>0</v>
      </c>
      <c r="P59" s="64">
        <f>ROUND(Scores!P59,$C$1)</f>
        <v>50</v>
      </c>
      <c r="Q59" s="64">
        <f>ROUND(Scores!Q59,$C$1)</f>
        <v>25</v>
      </c>
      <c r="R59" s="64">
        <f>ROUND(Scores!R59,$C$1)</f>
        <v>25</v>
      </c>
      <c r="S59" s="64">
        <f>ROUND(Scores!S59,$C$1)</f>
        <v>75</v>
      </c>
      <c r="T59" s="64">
        <f>ROUND(Scores!T59,$C$1)</f>
        <v>75</v>
      </c>
      <c r="U59" s="64">
        <f>ROUND(Scores!U59,$C$1)</f>
        <v>100</v>
      </c>
      <c r="V59" s="64">
        <f>ROUND(Scores!V59,$C$1)</f>
        <v>100</v>
      </c>
      <c r="W59" s="64">
        <f>ROUND(Scores!W59,$C$1)</f>
        <v>75</v>
      </c>
      <c r="X59" s="64">
        <f>ROUND(Scores!X59,$C$1)</f>
        <v>0</v>
      </c>
      <c r="Y59" s="64">
        <f>ROUND(Scores!Y59,$C$1)</f>
        <v>50</v>
      </c>
      <c r="Z59" s="64">
        <f>ROUND(Scores!Z59,$C$1)</f>
        <v>50</v>
      </c>
      <c r="AA59" s="64">
        <f>ROUND(Scores!AA59,$C$1)</f>
        <v>75</v>
      </c>
      <c r="AB59" s="64">
        <f>ROUND(Scores!AB59,$C$1)</f>
        <v>75</v>
      </c>
      <c r="AC59" s="64">
        <f>ROUND(Scores!AC59,$C$1)</f>
        <v>75</v>
      </c>
      <c r="AD59" s="64">
        <f>ROUND(Scores!AD59,$C$1)</f>
        <v>100</v>
      </c>
      <c r="AE59" s="64">
        <f>ROUND(Scores!AE59,$C$1)</f>
        <v>100</v>
      </c>
      <c r="AF59" s="64">
        <f>ROUND(Scores!AF59,$C$1)</f>
        <v>75</v>
      </c>
      <c r="AG59" s="64">
        <f>ROUND(Scores!AG59,$C$1)</f>
        <v>75</v>
      </c>
      <c r="AH59" s="64">
        <f>ROUND(Scores!AH59,$C$1)</f>
        <v>75</v>
      </c>
      <c r="AI59" s="64">
        <f>ROUND(Scores!AI59,$C$1)</f>
        <v>75</v>
      </c>
      <c r="AJ59" s="64">
        <f>ROUND(Scores!AJ59,$C$1)</f>
        <v>100</v>
      </c>
      <c r="AK59" s="64">
        <f>ROUND(Scores!AK59,$C$1)</f>
        <v>75</v>
      </c>
      <c r="AL59" s="64">
        <f>ROUND(Scores!AL59,$C$1)</f>
        <v>50</v>
      </c>
      <c r="AM59" s="64">
        <f>ROUND(Scores!AM59,$C$1)</f>
        <v>75</v>
      </c>
      <c r="AN59" s="64">
        <f>ROUND(Scores!AN59,$C$1)</f>
        <v>75</v>
      </c>
      <c r="AO59" s="64">
        <f>ROUND(Scores!AO59,$C$1)</f>
        <v>100</v>
      </c>
      <c r="AP59" s="64">
        <f>ROUND(Scores!AP59,$C$1)</f>
        <v>100</v>
      </c>
      <c r="AQ59" s="64">
        <f>ROUND(Scores!AQ59,$C$1)</f>
        <v>100</v>
      </c>
      <c r="AR59" s="64">
        <f>ROUND(Scores!AR59,$C$1)</f>
        <v>100</v>
      </c>
      <c r="AS59" s="64">
        <f>ROUND(Scores!AS59,$C$1)</f>
        <v>75</v>
      </c>
      <c r="AT59" s="64">
        <f>ROUND(Scores!AT59,$C$1)</f>
        <v>75</v>
      </c>
      <c r="AU59" s="64">
        <f>ROUND(Scores!AU59,$C$1)</f>
        <v>50</v>
      </c>
      <c r="AV59" s="64">
        <f>ROUND(Scores!AV59,$C$1)</f>
        <v>100</v>
      </c>
      <c r="AW59" s="64">
        <f>ROUND(Scores!AW59,$C$1)</f>
        <v>100</v>
      </c>
      <c r="AX59" s="64">
        <f>ROUND(Scores!AX59,$C$1)</f>
        <v>100</v>
      </c>
      <c r="AY59" s="64">
        <f>ROUND(Scores!AY59,$C$1)</f>
        <v>100</v>
      </c>
      <c r="AZ59" s="64">
        <f>ROUND(Scores!AZ59,$C$1)</f>
        <v>75</v>
      </c>
      <c r="BA59" s="64">
        <f>ROUND(Scores!BA59,$C$1)</f>
        <v>75</v>
      </c>
      <c r="BB59" s="64">
        <f>ROUND(Scores!BB59,$C$1)</f>
        <v>75</v>
      </c>
      <c r="BC59" s="64">
        <f>ROUND(Scores!BC59,$C$1)</f>
        <v>75</v>
      </c>
      <c r="BD59" s="64">
        <f>ROUND(Scores!BD59,$C$1)</f>
        <v>75</v>
      </c>
      <c r="BE59" s="64">
        <f>ROUND(Scores!BE59,$C$1)</f>
        <v>75</v>
      </c>
      <c r="BF59" s="64">
        <f>ROUND(Scores!BF59,$C$1)</f>
        <v>75</v>
      </c>
      <c r="BG59" s="64">
        <f>ROUND(Scores!BG59,$C$1)</f>
        <v>75</v>
      </c>
      <c r="BH59" s="64">
        <f>ROUND(Scores!BH59,$C$1)</f>
        <v>75</v>
      </c>
      <c r="BI59" s="64">
        <f>ROUND(Scores!BI59,$C$1)</f>
        <v>100</v>
      </c>
      <c r="BJ59" s="64">
        <f>ROUND(Scores!BJ59,$C$1)</f>
        <v>50</v>
      </c>
      <c r="BK59" s="64">
        <f>ROUND(Scores!BK59,$C$1)</f>
        <v>75</v>
      </c>
    </row>
    <row r="60" s="22" customFormat="1" spans="1:63">
      <c r="A60" s="24"/>
      <c r="B60" s="24"/>
      <c r="C60" s="24"/>
      <c r="D60" s="52"/>
      <c r="E60" s="52"/>
      <c r="F60" s="52"/>
      <c r="G60" s="52"/>
      <c r="H60" s="52"/>
      <c r="I60" s="52"/>
      <c r="J60" s="52"/>
      <c r="K60" s="54"/>
      <c r="L60" s="62" t="str">
        <f>tblIndicators!Z53</f>
        <v>4.2.3) Criminal gang activity</v>
      </c>
      <c r="M60" s="63"/>
      <c r="N60" s="64">
        <f>ROUND(Scores!N60,$C$1)</f>
        <v>99.94</v>
      </c>
      <c r="O60" s="64">
        <f>ROUND(Scores!O60,$C$1)</f>
        <v>99.41</v>
      </c>
      <c r="P60" s="64">
        <f>ROUND(Scores!P60,$C$1)</f>
        <v>99.86</v>
      </c>
      <c r="Q60" s="64">
        <f>ROUND(Scores!Q60,$C$1)</f>
        <v>97.32</v>
      </c>
      <c r="R60" s="64">
        <f>ROUND(Scores!R60,$C$1)</f>
        <v>97.32</v>
      </c>
      <c r="S60" s="64">
        <f>ROUND(Scores!S60,$C$1)</f>
        <v>0</v>
      </c>
      <c r="T60" s="64">
        <f>ROUND(Scores!T60,$C$1)</f>
        <v>0</v>
      </c>
      <c r="U60" s="64">
        <f>ROUND(Scores!U60,$C$1)</f>
        <v>87.59</v>
      </c>
      <c r="V60" s="64">
        <f>ROUND(Scores!V60,$C$1)</f>
        <v>87.59</v>
      </c>
      <c r="W60" s="64">
        <f>ROUND(Scores!W60,$C$1)</f>
        <v>0</v>
      </c>
      <c r="X60" s="64">
        <f>ROUND(Scores!X60,$C$1)</f>
        <v>79.88</v>
      </c>
      <c r="Y60" s="64">
        <f>ROUND(Scores!Y60,$C$1)</f>
        <v>98.97</v>
      </c>
      <c r="Z60" s="64">
        <f>ROUND(Scores!Z60,$C$1)</f>
        <v>99.98</v>
      </c>
      <c r="AA60" s="64">
        <f>ROUND(Scores!AA60,$C$1)</f>
        <v>0</v>
      </c>
      <c r="AB60" s="64">
        <f>ROUND(Scores!AB60,$C$1)</f>
        <v>0</v>
      </c>
      <c r="AC60" s="64">
        <f>ROUND(Scores!AC60,$C$1)</f>
        <v>97.7</v>
      </c>
      <c r="AD60" s="64">
        <f>ROUND(Scores!AD60,$C$1)</f>
        <v>97.7</v>
      </c>
      <c r="AE60" s="64">
        <f>ROUND(Scores!AE60,$C$1)</f>
        <v>58.31</v>
      </c>
      <c r="AF60" s="64">
        <f>ROUND(Scores!AF60,$C$1)</f>
        <v>58.31</v>
      </c>
      <c r="AG60" s="64">
        <f>ROUND(Scores!AG60,$C$1)</f>
        <v>58.31</v>
      </c>
      <c r="AH60" s="64">
        <f>ROUND(Scores!AH60,$C$1)</f>
        <v>58.31</v>
      </c>
      <c r="AI60" s="64">
        <f>ROUND(Scores!AI60,$C$1)</f>
        <v>58.31</v>
      </c>
      <c r="AJ60" s="64">
        <f>ROUND(Scores!AJ60,$C$1)</f>
        <v>58.31</v>
      </c>
      <c r="AK60" s="64">
        <f>ROUND(Scores!AK60,$C$1)</f>
        <v>89.07</v>
      </c>
      <c r="AL60" s="64">
        <f>ROUND(Scores!AL60,$C$1)</f>
        <v>89.07</v>
      </c>
      <c r="AM60" s="64">
        <f>ROUND(Scores!AM60,$C$1)</f>
        <v>96.35</v>
      </c>
      <c r="AN60" s="64">
        <f>ROUND(Scores!AN60,$C$1)</f>
        <v>98.34</v>
      </c>
      <c r="AO60" s="64">
        <f>ROUND(Scores!AO60,$C$1)</f>
        <v>82.72</v>
      </c>
      <c r="AP60" s="64">
        <f>ROUND(Scores!AP60,$C$1)</f>
        <v>82.72</v>
      </c>
      <c r="AQ60" s="64">
        <f>ROUND(Scores!AQ60,$C$1)</f>
        <v>100</v>
      </c>
      <c r="AR60" s="64">
        <f>ROUND(Scores!AR60,$C$1)</f>
        <v>95.85</v>
      </c>
      <c r="AS60" s="64">
        <f>ROUND(Scores!AS60,$C$1)</f>
        <v>99.62</v>
      </c>
      <c r="AT60" s="64">
        <f>ROUND(Scores!AT60,$C$1)</f>
        <v>97.81</v>
      </c>
      <c r="AU60" s="64">
        <f>ROUND(Scores!AU60,$C$1)</f>
        <v>99.91</v>
      </c>
      <c r="AV60" s="64">
        <f>ROUND(Scores!AV60,$C$1)</f>
        <v>99.81</v>
      </c>
      <c r="AW60" s="64">
        <f>ROUND(Scores!AW60,$C$1)</f>
        <v>0</v>
      </c>
      <c r="AX60" s="64">
        <f>ROUND(Scores!AX60,$C$1)</f>
        <v>98.42</v>
      </c>
      <c r="AY60" s="64">
        <f>ROUND(Scores!AY60,$C$1)</f>
        <v>99.86</v>
      </c>
      <c r="AZ60" s="64">
        <f>ROUND(Scores!AZ60,$C$1)</f>
        <v>100</v>
      </c>
      <c r="BA60" s="64">
        <f>ROUND(Scores!BA60,$C$1)</f>
        <v>98.46</v>
      </c>
      <c r="BB60" s="64">
        <f>ROUND(Scores!BB60,$C$1)</f>
        <v>93.7</v>
      </c>
      <c r="BC60" s="64">
        <f>ROUND(Scores!BC60,$C$1)</f>
        <v>82.28</v>
      </c>
      <c r="BD60" s="64">
        <f>ROUND(Scores!BD60,$C$1)</f>
        <v>82.28</v>
      </c>
      <c r="BE60" s="64">
        <f>ROUND(Scores!BE60,$C$1)</f>
        <v>99.93</v>
      </c>
      <c r="BF60" s="64">
        <f>ROUND(Scores!BF60,$C$1)</f>
        <v>92.2</v>
      </c>
      <c r="BG60" s="64">
        <f>ROUND(Scores!BG60,$C$1)</f>
        <v>80.2</v>
      </c>
      <c r="BH60" s="64">
        <f>ROUND(Scores!BH60,$C$1)</f>
        <v>80.2</v>
      </c>
      <c r="BI60" s="64">
        <f>ROUND(Scores!BI60,$C$1)</f>
        <v>99.32</v>
      </c>
      <c r="BJ60" s="64">
        <f>ROUND(Scores!BJ60,$C$1)</f>
        <v>97.3</v>
      </c>
      <c r="BK60" s="64">
        <f>ROUND(Scores!BK60,$C$1)</f>
        <v>90.13</v>
      </c>
    </row>
    <row r="61" s="22" customFormat="1" spans="1:63">
      <c r="A61" s="24"/>
      <c r="B61" s="24"/>
      <c r="C61" s="24"/>
      <c r="D61" s="52"/>
      <c r="E61" s="52"/>
      <c r="F61" s="52"/>
      <c r="G61" s="52"/>
      <c r="H61" s="52"/>
      <c r="I61" s="52"/>
      <c r="J61" s="52"/>
      <c r="K61" s="54"/>
      <c r="L61" s="62" t="str">
        <f>tblIndicators!Z54</f>
        <v>4.2.4) Level of corruption in police force</v>
      </c>
      <c r="M61" s="63"/>
      <c r="N61" s="64">
        <f>ROUND(Scores!N61,$C$1)</f>
        <v>90</v>
      </c>
      <c r="O61" s="64">
        <f>ROUND(Scores!O61,$C$1)</f>
        <v>55</v>
      </c>
      <c r="P61" s="64">
        <f>ROUND(Scores!P61,$C$1)</f>
        <v>71</v>
      </c>
      <c r="Q61" s="64">
        <f>ROUND(Scores!Q61,$C$1)</f>
        <v>63</v>
      </c>
      <c r="R61" s="64">
        <f>ROUND(Scores!R61,$C$1)</f>
        <v>63</v>
      </c>
      <c r="S61" s="64">
        <f>ROUND(Scores!S61,$C$1)</f>
        <v>29</v>
      </c>
      <c r="T61" s="64">
        <f>ROUND(Scores!T61,$C$1)</f>
        <v>29</v>
      </c>
      <c r="U61" s="64">
        <f>ROUND(Scores!U61,$C$1)</f>
        <v>11</v>
      </c>
      <c r="V61" s="64">
        <f>ROUND(Scores!V61,$C$1)</f>
        <v>11</v>
      </c>
      <c r="W61" s="64">
        <f>ROUND(Scores!W61,$C$1)</f>
        <v>29</v>
      </c>
      <c r="X61" s="64">
        <f>ROUND(Scores!X61,$C$1)</f>
        <v>69</v>
      </c>
      <c r="Y61" s="64">
        <f>ROUND(Scores!Y61,$C$1)</f>
        <v>65</v>
      </c>
      <c r="Z61" s="64">
        <f>ROUND(Scores!Z61,$C$1)</f>
        <v>28</v>
      </c>
      <c r="AA61" s="64">
        <f>ROUND(Scores!AA61,$C$1)</f>
        <v>29</v>
      </c>
      <c r="AB61" s="64">
        <f>ROUND(Scores!AB61,$C$1)</f>
        <v>29</v>
      </c>
      <c r="AC61" s="64">
        <f>ROUND(Scores!AC61,$C$1)</f>
        <v>13</v>
      </c>
      <c r="AD61" s="64">
        <f>ROUND(Scores!AD61,$C$1)</f>
        <v>13</v>
      </c>
      <c r="AE61" s="64">
        <f>ROUND(Scores!AE61,$C$1)</f>
        <v>16</v>
      </c>
      <c r="AF61" s="64">
        <f>ROUND(Scores!AF61,$C$1)</f>
        <v>65</v>
      </c>
      <c r="AG61" s="64">
        <f>ROUND(Scores!AG61,$C$1)</f>
        <v>65</v>
      </c>
      <c r="AH61" s="64">
        <f>ROUND(Scores!AH61,$C$1)</f>
        <v>65</v>
      </c>
      <c r="AI61" s="64">
        <f>ROUND(Scores!AI61,$C$1)</f>
        <v>65</v>
      </c>
      <c r="AJ61" s="64">
        <f>ROUND(Scores!AJ61,$C$1)</f>
        <v>65</v>
      </c>
      <c r="AK61" s="64">
        <f>ROUND(Scores!AK61,$C$1)</f>
        <v>67</v>
      </c>
      <c r="AL61" s="64">
        <f>ROUND(Scores!AL61,$C$1)</f>
        <v>67</v>
      </c>
      <c r="AM61" s="64">
        <f>ROUND(Scores!AM61,$C$1)</f>
        <v>72</v>
      </c>
      <c r="AN61" s="64">
        <f>ROUND(Scores!AN61,$C$1)</f>
        <v>78</v>
      </c>
      <c r="AO61" s="64">
        <f>ROUND(Scores!AO61,$C$1)</f>
        <v>22</v>
      </c>
      <c r="AP61" s="64">
        <f>ROUND(Scores!AP61,$C$1)</f>
        <v>22</v>
      </c>
      <c r="AQ61" s="64">
        <f>ROUND(Scores!AQ61,$C$1)</f>
        <v>7</v>
      </c>
      <c r="AR61" s="64">
        <f>ROUND(Scores!AR61,$C$1)</f>
        <v>46</v>
      </c>
      <c r="AS61" s="64">
        <f>ROUND(Scores!AS61,$C$1)</f>
        <v>42</v>
      </c>
      <c r="AT61" s="64">
        <f>ROUND(Scores!AT61,$C$1)</f>
        <v>65</v>
      </c>
      <c r="AU61" s="64">
        <f>ROUND(Scores!AU61,$C$1)</f>
        <v>73</v>
      </c>
      <c r="AV61" s="64">
        <f>ROUND(Scores!AV61,$C$1)</f>
        <v>55</v>
      </c>
      <c r="AW61" s="64">
        <f>ROUND(Scores!AW61,$C$1)</f>
        <v>23</v>
      </c>
      <c r="AX61" s="64">
        <f>ROUND(Scores!AX61,$C$1)</f>
        <v>53</v>
      </c>
      <c r="AY61" s="64">
        <f>ROUND(Scores!AY61,$C$1)</f>
        <v>37</v>
      </c>
      <c r="AZ61" s="64">
        <f>ROUND(Scores!AZ61,$C$1)</f>
        <v>29</v>
      </c>
      <c r="BA61" s="64">
        <f>ROUND(Scores!BA61,$C$1)</f>
        <v>32</v>
      </c>
      <c r="BB61" s="64">
        <f>ROUND(Scores!BB61,$C$1)</f>
        <v>21</v>
      </c>
      <c r="BC61" s="64">
        <f>ROUND(Scores!BC61,$C$1)</f>
        <v>61</v>
      </c>
      <c r="BD61" s="64">
        <f>ROUND(Scores!BD61,$C$1)</f>
        <v>61</v>
      </c>
      <c r="BE61" s="64">
        <f>ROUND(Scores!BE61,$C$1)</f>
        <v>12</v>
      </c>
      <c r="BF61" s="64">
        <f>ROUND(Scores!BF61,$C$1)</f>
        <v>79</v>
      </c>
      <c r="BG61" s="64">
        <f>ROUND(Scores!BG61,$C$1)</f>
        <v>39</v>
      </c>
      <c r="BH61" s="64">
        <f>ROUND(Scores!BH61,$C$1)</f>
        <v>39</v>
      </c>
      <c r="BI61" s="64">
        <f>ROUND(Scores!BI61,$C$1)</f>
        <v>13</v>
      </c>
      <c r="BJ61" s="64">
        <f>ROUND(Scores!BJ61,$C$1)</f>
        <v>56</v>
      </c>
      <c r="BK61" s="64">
        <f>ROUND(Scores!BK61,$C$1)</f>
        <v>24</v>
      </c>
    </row>
    <row r="62" s="22" customFormat="1" spans="1:63">
      <c r="A62" s="24"/>
      <c r="B62" s="24"/>
      <c r="C62" s="24"/>
      <c r="D62" s="52"/>
      <c r="E62" s="52"/>
      <c r="F62" s="52"/>
      <c r="G62" s="52"/>
      <c r="H62" s="52"/>
      <c r="I62" s="52"/>
      <c r="J62" s="52"/>
      <c r="K62" s="54"/>
      <c r="L62" s="62" t="str">
        <f>tblIndicators!Z55</f>
        <v>4.2.5) Rate of drug use</v>
      </c>
      <c r="M62" s="63"/>
      <c r="N62" s="64">
        <f>ROUND(Scores!N62,$C$1)</f>
        <v>81.08</v>
      </c>
      <c r="O62" s="64">
        <f>ROUND(Scores!O62,$C$1)</f>
        <v>69.5</v>
      </c>
      <c r="P62" s="64">
        <f>ROUND(Scores!P62,$C$1)</f>
        <v>0</v>
      </c>
      <c r="Q62" s="64">
        <f>ROUND(Scores!Q62,$C$1)</f>
        <v>73.36</v>
      </c>
      <c r="R62" s="64">
        <f>ROUND(Scores!R62,$C$1)</f>
        <v>73.36</v>
      </c>
      <c r="S62" s="64">
        <f>ROUND(Scores!S62,$C$1)</f>
        <v>7.72</v>
      </c>
      <c r="T62" s="64">
        <f>ROUND(Scores!T62,$C$1)</f>
        <v>7.72</v>
      </c>
      <c r="U62" s="64">
        <f>ROUND(Scores!U62,$C$1)</f>
        <v>46.33</v>
      </c>
      <c r="V62" s="64">
        <f>ROUND(Scores!V62,$C$1)</f>
        <v>46.33</v>
      </c>
      <c r="W62" s="64">
        <f>ROUND(Scores!W62,$C$1)</f>
        <v>7.72</v>
      </c>
      <c r="X62" s="64">
        <f>ROUND(Scores!X62,$C$1)</f>
        <v>84.94</v>
      </c>
      <c r="Y62" s="64">
        <f>ROUND(Scores!Y62,$C$1)</f>
        <v>81.08</v>
      </c>
      <c r="Z62" s="64">
        <f>ROUND(Scores!Z62,$C$1)</f>
        <v>7.72</v>
      </c>
      <c r="AA62" s="64">
        <f>ROUND(Scores!AA62,$C$1)</f>
        <v>7.72</v>
      </c>
      <c r="AB62" s="64">
        <f>ROUND(Scores!AB62,$C$1)</f>
        <v>7.72</v>
      </c>
      <c r="AC62" s="64">
        <f>ROUND(Scores!AC62,$C$1)</f>
        <v>27.03</v>
      </c>
      <c r="AD62" s="64">
        <f>ROUND(Scores!AD62,$C$1)</f>
        <v>27.03</v>
      </c>
      <c r="AE62" s="64">
        <f>ROUND(Scores!AE62,$C$1)</f>
        <v>88.8</v>
      </c>
      <c r="AF62" s="64">
        <f>ROUND(Scores!AF62,$C$1)</f>
        <v>90.73</v>
      </c>
      <c r="AG62" s="64">
        <f>ROUND(Scores!AG62,$C$1)</f>
        <v>90.73</v>
      </c>
      <c r="AH62" s="64">
        <f>ROUND(Scores!AH62,$C$1)</f>
        <v>90.73</v>
      </c>
      <c r="AI62" s="64">
        <f>ROUND(Scores!AI62,$C$1)</f>
        <v>90.73</v>
      </c>
      <c r="AJ62" s="64">
        <f>ROUND(Scores!AJ62,$C$1)</f>
        <v>90.73</v>
      </c>
      <c r="AK62" s="64">
        <f>ROUND(Scores!AK62,$C$1)</f>
        <v>84.94</v>
      </c>
      <c r="AL62" s="64">
        <f>ROUND(Scores!AL62,$C$1)</f>
        <v>84.94</v>
      </c>
      <c r="AM62" s="64">
        <f>ROUND(Scores!AM62,$C$1)</f>
        <v>0</v>
      </c>
      <c r="AN62" s="64">
        <f>ROUND(Scores!AN62,$C$1)</f>
        <v>0</v>
      </c>
      <c r="AO62" s="64">
        <f>ROUND(Scores!AO62,$C$1)</f>
        <v>99.23</v>
      </c>
      <c r="AP62" s="64">
        <f>ROUND(Scores!AP62,$C$1)</f>
        <v>99.23</v>
      </c>
      <c r="AQ62" s="64">
        <f>ROUND(Scores!AQ62,$C$1)</f>
        <v>100</v>
      </c>
      <c r="AR62" s="64">
        <f>ROUND(Scores!AR62,$C$1)</f>
        <v>96.53</v>
      </c>
      <c r="AS62" s="64">
        <f>ROUND(Scores!AS62,$C$1)</f>
        <v>96.53</v>
      </c>
      <c r="AT62" s="64">
        <f>ROUND(Scores!AT62,$C$1)</f>
        <v>96.53</v>
      </c>
      <c r="AU62" s="64">
        <f>ROUND(Scores!AU62,$C$1)</f>
        <v>96.53</v>
      </c>
      <c r="AV62" s="64">
        <f>ROUND(Scores!AV62,$C$1)</f>
        <v>96.53</v>
      </c>
      <c r="AW62" s="64">
        <f>ROUND(Scores!AW62,$C$1)</f>
        <v>98.07</v>
      </c>
      <c r="AX62" s="64">
        <f>ROUND(Scores!AX62,$C$1)</f>
        <v>98.07</v>
      </c>
      <c r="AY62" s="64">
        <f>ROUND(Scores!AY62,$C$1)</f>
        <v>99.61</v>
      </c>
      <c r="AZ62" s="64">
        <f>ROUND(Scores!AZ62,$C$1)</f>
        <v>65.64</v>
      </c>
      <c r="BA62" s="64">
        <f>ROUND(Scores!BA62,$C$1)</f>
        <v>77.22</v>
      </c>
      <c r="BB62" s="64">
        <f>ROUND(Scores!BB62,$C$1)</f>
        <v>65.64</v>
      </c>
      <c r="BC62" s="64">
        <f>ROUND(Scores!BC62,$C$1)</f>
        <v>15.44</v>
      </c>
      <c r="BD62" s="64">
        <f>ROUND(Scores!BD62,$C$1)</f>
        <v>15.44</v>
      </c>
      <c r="BE62" s="64">
        <f>ROUND(Scores!BE62,$C$1)</f>
        <v>77.22</v>
      </c>
      <c r="BF62" s="64">
        <f>ROUND(Scores!BF62,$C$1)</f>
        <v>92.66</v>
      </c>
      <c r="BG62" s="64">
        <f>ROUND(Scores!BG62,$C$1)</f>
        <v>0</v>
      </c>
      <c r="BH62" s="64">
        <f>ROUND(Scores!BH62,$C$1)</f>
        <v>0</v>
      </c>
      <c r="BI62" s="64">
        <f>ROUND(Scores!BI62,$C$1)</f>
        <v>92.66</v>
      </c>
      <c r="BJ62" s="64">
        <f>ROUND(Scores!BJ62,$C$1)</f>
        <v>96.53</v>
      </c>
      <c r="BK62" s="64">
        <f>ROUND(Scores!BK62,$C$1)</f>
        <v>27.03</v>
      </c>
    </row>
    <row r="63" s="22" customFormat="1" spans="1:63">
      <c r="A63" s="24"/>
      <c r="B63" s="24"/>
      <c r="C63" s="24"/>
      <c r="D63" s="52"/>
      <c r="E63" s="52"/>
      <c r="F63" s="52"/>
      <c r="G63" s="52"/>
      <c r="H63" s="52"/>
      <c r="I63" s="52"/>
      <c r="J63" s="52"/>
      <c r="K63" s="54"/>
      <c r="L63" s="62" t="str">
        <f>tblIndicators!Z56</f>
        <v>4.2.6) Frequency of terrorist attacks</v>
      </c>
      <c r="M63" s="63"/>
      <c r="N63" s="64">
        <f>ROUND(Scores!N63,$C$1)</f>
        <v>95.35</v>
      </c>
      <c r="O63" s="64">
        <f>ROUND(Scores!O63,$C$1)</f>
        <v>98.84</v>
      </c>
      <c r="P63" s="64">
        <f>ROUND(Scores!P63,$C$1)</f>
        <v>87.21</v>
      </c>
      <c r="Q63" s="64">
        <f>ROUND(Scores!Q63,$C$1)</f>
        <v>97.67</v>
      </c>
      <c r="R63" s="64">
        <f>ROUND(Scores!R63,$C$1)</f>
        <v>100</v>
      </c>
      <c r="S63" s="64">
        <f>ROUND(Scores!S63,$C$1)</f>
        <v>90.7</v>
      </c>
      <c r="T63" s="64">
        <f>ROUND(Scores!T63,$C$1)</f>
        <v>98.84</v>
      </c>
      <c r="U63" s="64">
        <f>ROUND(Scores!U63,$C$1)</f>
        <v>98.84</v>
      </c>
      <c r="V63" s="64">
        <f>ROUND(Scores!V63,$C$1)</f>
        <v>97.67</v>
      </c>
      <c r="W63" s="64">
        <f>ROUND(Scores!W63,$C$1)</f>
        <v>100</v>
      </c>
      <c r="X63" s="64">
        <f>ROUND(Scores!X63,$C$1)</f>
        <v>93.02</v>
      </c>
      <c r="Y63" s="64">
        <f>ROUND(Scores!Y63,$C$1)</f>
        <v>98.84</v>
      </c>
      <c r="Z63" s="64">
        <f>ROUND(Scores!Z63,$C$1)</f>
        <v>62.79</v>
      </c>
      <c r="AA63" s="64">
        <f>ROUND(Scores!AA63,$C$1)</f>
        <v>90.7</v>
      </c>
      <c r="AB63" s="64">
        <f>ROUND(Scores!AB63,$C$1)</f>
        <v>96.51</v>
      </c>
      <c r="AC63" s="64">
        <f>ROUND(Scores!AC63,$C$1)</f>
        <v>100</v>
      </c>
      <c r="AD63" s="64">
        <f>ROUND(Scores!AD63,$C$1)</f>
        <v>100</v>
      </c>
      <c r="AE63" s="64">
        <f>ROUND(Scores!AE63,$C$1)</f>
        <v>98.84</v>
      </c>
      <c r="AF63" s="64">
        <f>ROUND(Scores!AF63,$C$1)</f>
        <v>96.51</v>
      </c>
      <c r="AG63" s="64">
        <f>ROUND(Scores!AG63,$C$1)</f>
        <v>100</v>
      </c>
      <c r="AH63" s="64">
        <f>ROUND(Scores!AH63,$C$1)</f>
        <v>98.84</v>
      </c>
      <c r="AI63" s="64">
        <f>ROUND(Scores!AI63,$C$1)</f>
        <v>100</v>
      </c>
      <c r="AJ63" s="64">
        <f>ROUND(Scores!AJ63,$C$1)</f>
        <v>100</v>
      </c>
      <c r="AK63" s="64">
        <f>ROUND(Scores!AK63,$C$1)</f>
        <v>84.88</v>
      </c>
      <c r="AL63" s="64">
        <f>ROUND(Scores!AL63,$C$1)</f>
        <v>83.72</v>
      </c>
      <c r="AM63" s="64">
        <f>ROUND(Scores!AM63,$C$1)</f>
        <v>77.91</v>
      </c>
      <c r="AN63" s="64">
        <f>ROUND(Scores!AN63,$C$1)</f>
        <v>87.21</v>
      </c>
      <c r="AO63" s="64">
        <f>ROUND(Scores!AO63,$C$1)</f>
        <v>100</v>
      </c>
      <c r="AP63" s="64">
        <f>ROUND(Scores!AP63,$C$1)</f>
        <v>100</v>
      </c>
      <c r="AQ63" s="64">
        <f>ROUND(Scores!AQ63,$C$1)</f>
        <v>100</v>
      </c>
      <c r="AR63" s="64">
        <f>ROUND(Scores!AR63,$C$1)</f>
        <v>98.84</v>
      </c>
      <c r="AS63" s="64">
        <f>ROUND(Scores!AS63,$C$1)</f>
        <v>97.67</v>
      </c>
      <c r="AT63" s="64">
        <f>ROUND(Scores!AT63,$C$1)</f>
        <v>0</v>
      </c>
      <c r="AU63" s="64">
        <f>ROUND(Scores!AU63,$C$1)</f>
        <v>100</v>
      </c>
      <c r="AV63" s="64">
        <f>ROUND(Scores!AV63,$C$1)</f>
        <v>100</v>
      </c>
      <c r="AW63" s="64">
        <f>ROUND(Scores!AW63,$C$1)</f>
        <v>98.84</v>
      </c>
      <c r="AX63" s="64">
        <f>ROUND(Scores!AX63,$C$1)</f>
        <v>86.05</v>
      </c>
      <c r="AY63" s="64">
        <f>ROUND(Scores!AY63,$C$1)</f>
        <v>100</v>
      </c>
      <c r="AZ63" s="64">
        <f>ROUND(Scores!AZ63,$C$1)</f>
        <v>97.67</v>
      </c>
      <c r="BA63" s="64">
        <f>ROUND(Scores!BA63,$C$1)</f>
        <v>88.37</v>
      </c>
      <c r="BB63" s="64">
        <f>ROUND(Scores!BB63,$C$1)</f>
        <v>97.67</v>
      </c>
      <c r="BC63" s="64">
        <f>ROUND(Scores!BC63,$C$1)</f>
        <v>89.53</v>
      </c>
      <c r="BD63" s="64">
        <f>ROUND(Scores!BD63,$C$1)</f>
        <v>91.86</v>
      </c>
      <c r="BE63" s="64">
        <f>ROUND(Scores!BE63,$C$1)</f>
        <v>98.84</v>
      </c>
      <c r="BF63" s="64">
        <f>ROUND(Scores!BF63,$C$1)</f>
        <v>74.42</v>
      </c>
      <c r="BG63" s="64">
        <f>ROUND(Scores!BG63,$C$1)</f>
        <v>77.91</v>
      </c>
      <c r="BH63" s="64">
        <f>ROUND(Scores!BH63,$C$1)</f>
        <v>98.84</v>
      </c>
      <c r="BI63" s="64">
        <f>ROUND(Scores!BI63,$C$1)</f>
        <v>98.84</v>
      </c>
      <c r="BJ63" s="64">
        <f>ROUND(Scores!BJ63,$C$1)</f>
        <v>36.05</v>
      </c>
      <c r="BK63" s="64">
        <f>ROUND(Scores!BK63,$C$1)</f>
        <v>72.09</v>
      </c>
    </row>
    <row r="64" s="22" customFormat="1" spans="1:63">
      <c r="A64" s="24"/>
      <c r="B64" s="24"/>
      <c r="C64" s="24"/>
      <c r="D64" s="52"/>
      <c r="E64" s="52"/>
      <c r="F64" s="52"/>
      <c r="G64" s="52"/>
      <c r="H64" s="52"/>
      <c r="I64" s="52"/>
      <c r="J64" s="52"/>
      <c r="K64" s="54"/>
      <c r="L64" s="62" t="str">
        <f>tblIndicators!Z57</f>
        <v>4.2.7) Gender safety</v>
      </c>
      <c r="M64" s="63"/>
      <c r="N64" s="64">
        <f>ROUND(Scores!N64,$C$1)</f>
        <v>81.56</v>
      </c>
      <c r="O64" s="64">
        <f>ROUND(Scores!O64,$C$1)</f>
        <v>99.49</v>
      </c>
      <c r="P64" s="64">
        <f>ROUND(Scores!P64,$C$1)</f>
        <v>71.79</v>
      </c>
      <c r="Q64" s="64">
        <f>ROUND(Scores!Q64,$C$1)</f>
        <v>98.15</v>
      </c>
      <c r="R64" s="64">
        <f>ROUND(Scores!R64,$C$1)</f>
        <v>81.57</v>
      </c>
      <c r="S64" s="64">
        <f>ROUND(Scores!S64,$C$1)</f>
        <v>97.09</v>
      </c>
      <c r="T64" s="64">
        <f>ROUND(Scores!T64,$C$1)</f>
        <v>99.69</v>
      </c>
      <c r="U64" s="64">
        <f>ROUND(Scores!U64,$C$1)</f>
        <v>98.22</v>
      </c>
      <c r="V64" s="64">
        <f>ROUND(Scores!V64,$C$1)</f>
        <v>98.22</v>
      </c>
      <c r="W64" s="64">
        <f>ROUND(Scores!W64,$C$1)</f>
        <v>95.45</v>
      </c>
      <c r="X64" s="64">
        <f>ROUND(Scores!X64,$C$1)</f>
        <v>52.99</v>
      </c>
      <c r="Y64" s="64">
        <f>ROUND(Scores!Y64,$C$1)</f>
        <v>78.85</v>
      </c>
      <c r="Z64" s="64">
        <f>ROUND(Scores!Z64,$C$1)</f>
        <v>94.79</v>
      </c>
      <c r="AA64" s="64">
        <f>ROUND(Scores!AA64,$C$1)</f>
        <v>95.71</v>
      </c>
      <c r="AB64" s="64">
        <f>ROUND(Scores!AB64,$C$1)</f>
        <v>98.8</v>
      </c>
      <c r="AC64" s="64">
        <f>ROUND(Scores!AC64,$C$1)</f>
        <v>80.02</v>
      </c>
      <c r="AD64" s="64">
        <f>ROUND(Scores!AD64,$C$1)</f>
        <v>93.3</v>
      </c>
      <c r="AE64" s="64">
        <f>ROUND(Scores!AE64,$C$1)</f>
        <v>99.7</v>
      </c>
      <c r="AF64" s="64">
        <f>ROUND(Scores!AF64,$C$1)</f>
        <v>0</v>
      </c>
      <c r="AG64" s="64">
        <f>ROUND(Scores!AG64,$C$1)</f>
        <v>0</v>
      </c>
      <c r="AH64" s="64">
        <f>ROUND(Scores!AH64,$C$1)</f>
        <v>0</v>
      </c>
      <c r="AI64" s="64">
        <f>ROUND(Scores!AI64,$C$1)</f>
        <v>0</v>
      </c>
      <c r="AJ64" s="64">
        <f>ROUND(Scores!AJ64,$C$1)</f>
        <v>0</v>
      </c>
      <c r="AK64" s="64">
        <f>ROUND(Scores!AK64,$C$1)</f>
        <v>98.97</v>
      </c>
      <c r="AL64" s="64">
        <f>ROUND(Scores!AL64,$C$1)</f>
        <v>95.14</v>
      </c>
      <c r="AM64" s="64">
        <f>ROUND(Scores!AM64,$C$1)</f>
        <v>99.76</v>
      </c>
      <c r="AN64" s="64">
        <f>ROUND(Scores!AN64,$C$1)</f>
        <v>99.84</v>
      </c>
      <c r="AO64" s="64">
        <f>ROUND(Scores!AO64,$C$1)</f>
        <v>99.53</v>
      </c>
      <c r="AP64" s="64">
        <f>ROUND(Scores!AP64,$C$1)</f>
        <v>99.66</v>
      </c>
      <c r="AQ64" s="64">
        <f>ROUND(Scores!AQ64,$C$1)</f>
        <v>99.65</v>
      </c>
      <c r="AR64" s="64">
        <f>ROUND(Scores!AR64,$C$1)</f>
        <v>30.9</v>
      </c>
      <c r="AS64" s="64">
        <f>ROUND(Scores!AS64,$C$1)</f>
        <v>49.65</v>
      </c>
      <c r="AT64" s="64">
        <f>ROUND(Scores!AT64,$C$1)</f>
        <v>89.27</v>
      </c>
      <c r="AU64" s="64">
        <f>ROUND(Scores!AU64,$C$1)</f>
        <v>96.04</v>
      </c>
      <c r="AV64" s="64">
        <f>ROUND(Scores!AV64,$C$1)</f>
        <v>99.66</v>
      </c>
      <c r="AW64" s="64">
        <f>ROUND(Scores!AW64,$C$1)</f>
        <v>99.99</v>
      </c>
      <c r="AX64" s="64">
        <f>ROUND(Scores!AX64,$C$1)</f>
        <v>99.85</v>
      </c>
      <c r="AY64" s="64">
        <f>ROUND(Scores!AY64,$C$1)</f>
        <v>80.68</v>
      </c>
      <c r="AZ64" s="64">
        <f>ROUND(Scores!AZ64,$C$1)</f>
        <v>97.37</v>
      </c>
      <c r="BA64" s="64">
        <f>ROUND(Scores!BA64,$C$1)</f>
        <v>65.88</v>
      </c>
      <c r="BB64" s="64">
        <f>ROUND(Scores!BB64,$C$1)</f>
        <v>74.83</v>
      </c>
      <c r="BC64" s="64">
        <f>ROUND(Scores!BC64,$C$1)</f>
        <v>99.71</v>
      </c>
      <c r="BD64" s="64">
        <f>ROUND(Scores!BD64,$C$1)</f>
        <v>99.67</v>
      </c>
      <c r="BE64" s="64">
        <f>ROUND(Scores!BE64,$C$1)</f>
        <v>97.73</v>
      </c>
      <c r="BF64" s="64">
        <f>ROUND(Scores!BF64,$C$1)</f>
        <v>98.83</v>
      </c>
      <c r="BG64" s="64">
        <f>ROUND(Scores!BG64,$C$1)</f>
        <v>82.93</v>
      </c>
      <c r="BH64" s="64">
        <f>ROUND(Scores!BH64,$C$1)</f>
        <v>96.02</v>
      </c>
      <c r="BI64" s="64">
        <f>ROUND(Scores!BI64,$C$1)</f>
        <v>98.25</v>
      </c>
      <c r="BJ64" s="64">
        <f>ROUND(Scores!BJ64,$C$1)</f>
        <v>95.37</v>
      </c>
      <c r="BK64" s="64">
        <f>ROUND(Scores!BK64,$C$1)</f>
        <v>100</v>
      </c>
    </row>
    <row r="65" s="22" customFormat="1" spans="1:63">
      <c r="A65" s="24"/>
      <c r="B65" s="24"/>
      <c r="C65" s="24"/>
      <c r="D65" s="52"/>
      <c r="E65" s="52"/>
      <c r="F65" s="52"/>
      <c r="G65" s="52"/>
      <c r="H65" s="52"/>
      <c r="I65" s="52"/>
      <c r="J65" s="52"/>
      <c r="K65" s="54"/>
      <c r="L65" s="62" t="str">
        <f>tblIndicators!Z58</f>
        <v>4.2.8) Perceptions of safety</v>
      </c>
      <c r="M65" s="63"/>
      <c r="N65" s="64">
        <f>ROUND(Scores!N65,$C$1)</f>
        <v>77.9</v>
      </c>
      <c r="O65" s="64">
        <f>ROUND(Scores!O65,$C$1)</f>
        <v>17.44</v>
      </c>
      <c r="P65" s="64">
        <f>ROUND(Scores!P65,$C$1)</f>
        <v>38.49</v>
      </c>
      <c r="Q65" s="64">
        <f>ROUND(Scores!Q65,$C$1)</f>
        <v>24.86</v>
      </c>
      <c r="R65" s="64">
        <f>ROUND(Scores!R65,$C$1)</f>
        <v>25.32</v>
      </c>
      <c r="S65" s="64">
        <f>ROUND(Scores!S65,$C$1)</f>
        <v>48.22</v>
      </c>
      <c r="T65" s="64">
        <f>ROUND(Scores!T65,$C$1)</f>
        <v>58.25</v>
      </c>
      <c r="U65" s="64">
        <f>ROUND(Scores!U65,$C$1)</f>
        <v>68.46</v>
      </c>
      <c r="V65" s="64">
        <f>ROUND(Scores!V65,$C$1)</f>
        <v>61.79</v>
      </c>
      <c r="W65" s="64">
        <f>ROUND(Scores!W65,$C$1)</f>
        <v>39.99</v>
      </c>
      <c r="X65" s="64">
        <f>ROUND(Scores!X65,$C$1)</f>
        <v>37.99</v>
      </c>
      <c r="Y65" s="64">
        <f>ROUND(Scores!Y65,$C$1)</f>
        <v>30.42</v>
      </c>
      <c r="Z65" s="64">
        <f>ROUND(Scores!Z65,$C$1)</f>
        <v>52.54</v>
      </c>
      <c r="AA65" s="64">
        <f>ROUND(Scores!AA65,$C$1)</f>
        <v>52.53</v>
      </c>
      <c r="AB65" s="64">
        <f>ROUND(Scores!AB65,$C$1)</f>
        <v>41.1</v>
      </c>
      <c r="AC65" s="64">
        <f>ROUND(Scores!AC65,$C$1)</f>
        <v>58.72</v>
      </c>
      <c r="AD65" s="64">
        <f>ROUND(Scores!AD65,$C$1)</f>
        <v>57.47</v>
      </c>
      <c r="AE65" s="64">
        <f>ROUND(Scores!AE65,$C$1)</f>
        <v>83.88</v>
      </c>
      <c r="AF65" s="64">
        <f>ROUND(Scores!AF65,$C$1)</f>
        <v>58.3</v>
      </c>
      <c r="AG65" s="64">
        <f>ROUND(Scores!AG65,$C$1)</f>
        <v>77.75</v>
      </c>
      <c r="AH65" s="64">
        <f>ROUND(Scores!AH65,$C$1)</f>
        <v>77.12</v>
      </c>
      <c r="AI65" s="64">
        <f>ROUND(Scores!AI65,$C$1)</f>
        <v>59.38</v>
      </c>
      <c r="AJ65" s="64">
        <f>ROUND(Scores!AJ65,$C$1)</f>
        <v>58.85</v>
      </c>
      <c r="AK65" s="64">
        <f>ROUND(Scores!AK65,$C$1)</f>
        <v>51.04</v>
      </c>
      <c r="AL65" s="64">
        <f>ROUND(Scores!AL65,$C$1)</f>
        <v>41.41</v>
      </c>
      <c r="AM65" s="64">
        <f>ROUND(Scores!AM65,$C$1)</f>
        <v>52.19</v>
      </c>
      <c r="AN65" s="64">
        <f>ROUND(Scores!AN65,$C$1)</f>
        <v>43.73</v>
      </c>
      <c r="AO65" s="64">
        <f>ROUND(Scores!AO65,$C$1)</f>
        <v>80.92</v>
      </c>
      <c r="AP65" s="64">
        <f>ROUND(Scores!AP65,$C$1)</f>
        <v>95.03</v>
      </c>
      <c r="AQ65" s="64">
        <f>ROUND(Scores!AQ65,$C$1)</f>
        <v>81.98</v>
      </c>
      <c r="AR65" s="64">
        <f>ROUND(Scores!AR65,$C$1)</f>
        <v>80.5</v>
      </c>
      <c r="AS65" s="64">
        <f>ROUND(Scores!AS65,$C$1)</f>
        <v>79.1</v>
      </c>
      <c r="AT65" s="64">
        <f>ROUND(Scores!AT65,$C$1)</f>
        <v>63.85</v>
      </c>
      <c r="AU65" s="64">
        <f>ROUND(Scores!AU65,$C$1)</f>
        <v>52.23</v>
      </c>
      <c r="AV65" s="64">
        <f>ROUND(Scores!AV65,$C$1)</f>
        <v>57.02</v>
      </c>
      <c r="AW65" s="64">
        <f>ROUND(Scores!AW65,$C$1)</f>
        <v>78.09</v>
      </c>
      <c r="AX65" s="64">
        <f>ROUND(Scores!AX65,$C$1)</f>
        <v>73.83</v>
      </c>
      <c r="AY65" s="64">
        <f>ROUND(Scores!AY65,$C$1)</f>
        <v>86.02</v>
      </c>
      <c r="AZ65" s="64">
        <f>ROUND(Scores!AZ65,$C$1)</f>
        <v>46.19</v>
      </c>
      <c r="BA65" s="64">
        <f>ROUND(Scores!BA65,$C$1)</f>
        <v>43.88</v>
      </c>
      <c r="BB65" s="64">
        <f>ROUND(Scores!BB65,$C$1)</f>
        <v>73.06</v>
      </c>
      <c r="BC65" s="64">
        <f>ROUND(Scores!BC65,$C$1)</f>
        <v>29.69</v>
      </c>
      <c r="BD65" s="64">
        <f>ROUND(Scores!BD65,$C$1)</f>
        <v>46.95</v>
      </c>
      <c r="BE65" s="64">
        <f>ROUND(Scores!BE65,$C$1)</f>
        <v>68.41</v>
      </c>
      <c r="BF65" s="64">
        <f>ROUND(Scores!BF65,$C$1)</f>
        <v>46.01</v>
      </c>
      <c r="BG65" s="64">
        <f>ROUND(Scores!BG65,$C$1)</f>
        <v>62.89</v>
      </c>
      <c r="BH65" s="64">
        <f>ROUND(Scores!BH65,$C$1)</f>
        <v>58.33</v>
      </c>
      <c r="BI65" s="64">
        <f>ROUND(Scores!BI65,$C$1)</f>
        <v>79.39</v>
      </c>
      <c r="BJ65" s="64">
        <f>ROUND(Scores!BJ65,$C$1)</f>
        <v>59.86</v>
      </c>
      <c r="BK65" s="64">
        <f>ROUND(Scores!BK65,$C$1)</f>
        <v>52.62</v>
      </c>
    </row>
    <row r="66" spans="14:37">
      <c r="N66" s="65"/>
      <c r="O66" s="65"/>
      <c r="P66" s="65"/>
      <c r="Q66" s="65"/>
      <c r="R66" s="65"/>
      <c r="S66" s="65"/>
      <c r="T66" s="65"/>
      <c r="U66" s="65"/>
      <c r="V66" s="65"/>
      <c r="W66" s="65"/>
      <c r="X66" s="65"/>
      <c r="Y66" s="65"/>
      <c r="Z66" s="65"/>
      <c r="AA66" s="65"/>
      <c r="AB66" s="65"/>
      <c r="AC66" s="65"/>
      <c r="AD66" s="65"/>
      <c r="AE66" s="65"/>
      <c r="AF66" s="65"/>
      <c r="AG66" s="65"/>
      <c r="AH66" s="65"/>
      <c r="AI66" s="65"/>
      <c r="AJ66" s="65"/>
      <c r="AK66" s="65"/>
    </row>
    <row r="67" spans="14:37">
      <c r="N67" s="65"/>
      <c r="O67" s="65"/>
      <c r="P67" s="65"/>
      <c r="Q67" s="65"/>
      <c r="R67" s="65"/>
      <c r="S67" s="65"/>
      <c r="T67" s="65"/>
      <c r="U67" s="65"/>
      <c r="V67" s="65"/>
      <c r="W67" s="65"/>
      <c r="X67" s="65"/>
      <c r="Y67" s="65"/>
      <c r="Z67" s="65"/>
      <c r="AA67" s="65"/>
      <c r="AB67" s="65"/>
      <c r="AC67" s="65"/>
      <c r="AD67" s="65"/>
      <c r="AE67" s="65"/>
      <c r="AF67" s="65"/>
      <c r="AG67" s="65"/>
      <c r="AH67" s="65"/>
      <c r="AI67" s="65"/>
      <c r="AJ67" s="65"/>
      <c r="AK67" s="65"/>
    </row>
    <row r="68" spans="14:37">
      <c r="N68" s="65"/>
      <c r="O68" s="65"/>
      <c r="P68" s="65"/>
      <c r="Q68" s="65"/>
      <c r="R68" s="65"/>
      <c r="S68" s="65"/>
      <c r="T68" s="65"/>
      <c r="U68" s="65"/>
      <c r="V68" s="65"/>
      <c r="W68" s="65"/>
      <c r="X68" s="65"/>
      <c r="Y68" s="65"/>
      <c r="Z68" s="65"/>
      <c r="AA68" s="65"/>
      <c r="AB68" s="65"/>
      <c r="AC68" s="65"/>
      <c r="AD68" s="65"/>
      <c r="AE68" s="65"/>
      <c r="AF68" s="65"/>
      <c r="AG68" s="65"/>
      <c r="AH68" s="65"/>
      <c r="AI68" s="65"/>
      <c r="AJ68" s="65"/>
      <c r="AK68" s="65"/>
    </row>
    <row r="69" spans="14:37">
      <c r="N69" s="65"/>
      <c r="O69" s="65"/>
      <c r="P69" s="65"/>
      <c r="Q69" s="65"/>
      <c r="R69" s="65"/>
      <c r="S69" s="65"/>
      <c r="T69" s="65"/>
      <c r="U69" s="65"/>
      <c r="V69" s="65"/>
      <c r="W69" s="65"/>
      <c r="X69" s="65"/>
      <c r="Y69" s="65"/>
      <c r="Z69" s="65"/>
      <c r="AA69" s="65"/>
      <c r="AB69" s="65"/>
      <c r="AC69" s="65"/>
      <c r="AD69" s="65"/>
      <c r="AE69" s="65"/>
      <c r="AF69" s="65"/>
      <c r="AG69" s="65"/>
      <c r="AH69" s="65"/>
      <c r="AI69" s="65"/>
      <c r="AJ69" s="65"/>
      <c r="AK69" s="65"/>
    </row>
    <row r="70" spans="14:37">
      <c r="N70" s="65"/>
      <c r="O70" s="65"/>
      <c r="P70" s="65"/>
      <c r="Q70" s="65"/>
      <c r="R70" s="65"/>
      <c r="S70" s="65"/>
      <c r="T70" s="65"/>
      <c r="U70" s="65"/>
      <c r="V70" s="65"/>
      <c r="W70" s="65"/>
      <c r="X70" s="65"/>
      <c r="Y70" s="65"/>
      <c r="Z70" s="65"/>
      <c r="AA70" s="65"/>
      <c r="AB70" s="65"/>
      <c r="AC70" s="65"/>
      <c r="AD70" s="65"/>
      <c r="AE70" s="65"/>
      <c r="AF70" s="65"/>
      <c r="AG70" s="65"/>
      <c r="AH70" s="65"/>
      <c r="AI70" s="65"/>
      <c r="AJ70" s="65"/>
      <c r="AK70" s="65"/>
    </row>
    <row r="71" spans="14:37">
      <c r="N71" s="65"/>
      <c r="O71" s="65"/>
      <c r="P71" s="65"/>
      <c r="Q71" s="65"/>
      <c r="R71" s="65"/>
      <c r="S71" s="65"/>
      <c r="T71" s="65"/>
      <c r="U71" s="65"/>
      <c r="V71" s="65"/>
      <c r="W71" s="65"/>
      <c r="X71" s="65"/>
      <c r="Y71" s="65"/>
      <c r="Z71" s="65"/>
      <c r="AA71" s="65"/>
      <c r="AB71" s="65"/>
      <c r="AC71" s="65"/>
      <c r="AD71" s="65"/>
      <c r="AE71" s="65"/>
      <c r="AF71" s="65"/>
      <c r="AG71" s="65"/>
      <c r="AH71" s="65"/>
      <c r="AI71" s="65"/>
      <c r="AJ71" s="65"/>
      <c r="AK71" s="65"/>
    </row>
    <row r="72" spans="14:37">
      <c r="N72" s="65"/>
      <c r="O72" s="65"/>
      <c r="P72" s="65"/>
      <c r="Q72" s="65"/>
      <c r="R72" s="65"/>
      <c r="S72" s="65"/>
      <c r="T72" s="65"/>
      <c r="U72" s="65"/>
      <c r="V72" s="65"/>
      <c r="W72" s="65"/>
      <c r="X72" s="65"/>
      <c r="Y72" s="65"/>
      <c r="Z72" s="65"/>
      <c r="AA72" s="65"/>
      <c r="AB72" s="65"/>
      <c r="AC72" s="65"/>
      <c r="AD72" s="65"/>
      <c r="AE72" s="65"/>
      <c r="AF72" s="65"/>
      <c r="AG72" s="65"/>
      <c r="AH72" s="65"/>
      <c r="AI72" s="65"/>
      <c r="AJ72" s="65"/>
      <c r="AK72" s="65"/>
    </row>
    <row r="73" spans="14:37">
      <c r="N73" s="65"/>
      <c r="O73" s="65"/>
      <c r="P73" s="65"/>
      <c r="Q73" s="65"/>
      <c r="R73" s="65"/>
      <c r="S73" s="65"/>
      <c r="T73" s="65"/>
      <c r="U73" s="65"/>
      <c r="V73" s="65"/>
      <c r="W73" s="65"/>
      <c r="X73" s="65"/>
      <c r="Y73" s="65"/>
      <c r="Z73" s="65"/>
      <c r="AA73" s="65"/>
      <c r="AB73" s="65"/>
      <c r="AC73" s="65"/>
      <c r="AD73" s="65"/>
      <c r="AE73" s="65"/>
      <c r="AF73" s="65"/>
      <c r="AG73" s="65"/>
      <c r="AH73" s="65"/>
      <c r="AI73" s="65"/>
      <c r="AJ73" s="65"/>
      <c r="AK73" s="65"/>
    </row>
    <row r="74" spans="14:37">
      <c r="N74" s="65"/>
      <c r="O74" s="65"/>
      <c r="P74" s="65"/>
      <c r="Q74" s="65"/>
      <c r="R74" s="65"/>
      <c r="S74" s="65"/>
      <c r="T74" s="65"/>
      <c r="U74" s="65"/>
      <c r="V74" s="65"/>
      <c r="W74" s="65"/>
      <c r="X74" s="65"/>
      <c r="Y74" s="65"/>
      <c r="Z74" s="65"/>
      <c r="AA74" s="65"/>
      <c r="AB74" s="65"/>
      <c r="AC74" s="65"/>
      <c r="AD74" s="65"/>
      <c r="AE74" s="65"/>
      <c r="AF74" s="65"/>
      <c r="AG74" s="65"/>
      <c r="AH74" s="65"/>
      <c r="AI74" s="65"/>
      <c r="AJ74" s="65"/>
      <c r="AK74" s="65"/>
    </row>
    <row r="75" spans="14:37">
      <c r="N75" s="65"/>
      <c r="O75" s="65"/>
      <c r="P75" s="65"/>
      <c r="Q75" s="65"/>
      <c r="R75" s="65"/>
      <c r="S75" s="65"/>
      <c r="T75" s="65"/>
      <c r="U75" s="65"/>
      <c r="V75" s="65"/>
      <c r="W75" s="65"/>
      <c r="X75" s="65"/>
      <c r="Y75" s="65"/>
      <c r="Z75" s="65"/>
      <c r="AA75" s="65"/>
      <c r="AB75" s="65"/>
      <c r="AC75" s="65"/>
      <c r="AD75" s="65"/>
      <c r="AE75" s="65"/>
      <c r="AF75" s="65"/>
      <c r="AG75" s="65"/>
      <c r="AH75" s="65"/>
      <c r="AI75" s="65"/>
      <c r="AJ75" s="65"/>
      <c r="AK75" s="65"/>
    </row>
    <row r="76" spans="14:37">
      <c r="N76" s="65"/>
      <c r="O76" s="65"/>
      <c r="P76" s="65"/>
      <c r="Q76" s="65"/>
      <c r="R76" s="65"/>
      <c r="S76" s="65"/>
      <c r="T76" s="65"/>
      <c r="U76" s="65"/>
      <c r="V76" s="65"/>
      <c r="W76" s="65"/>
      <c r="X76" s="65"/>
      <c r="Y76" s="65"/>
      <c r="Z76" s="65"/>
      <c r="AA76" s="65"/>
      <c r="AB76" s="65"/>
      <c r="AC76" s="65"/>
      <c r="AD76" s="65"/>
      <c r="AE76" s="65"/>
      <c r="AF76" s="65"/>
      <c r="AG76" s="65"/>
      <c r="AH76" s="65"/>
      <c r="AI76" s="65"/>
      <c r="AJ76" s="65"/>
      <c r="AK76" s="65"/>
    </row>
    <row r="77" spans="14:37">
      <c r="N77" s="65"/>
      <c r="O77" s="65"/>
      <c r="P77" s="65"/>
      <c r="Q77" s="65"/>
      <c r="R77" s="65"/>
      <c r="S77" s="65"/>
      <c r="T77" s="65"/>
      <c r="U77" s="65"/>
      <c r="V77" s="65"/>
      <c r="W77" s="65"/>
      <c r="X77" s="65"/>
      <c r="Y77" s="65"/>
      <c r="Z77" s="65"/>
      <c r="AA77" s="65"/>
      <c r="AB77" s="65"/>
      <c r="AC77" s="65"/>
      <c r="AD77" s="65"/>
      <c r="AE77" s="65"/>
      <c r="AF77" s="65"/>
      <c r="AG77" s="65"/>
      <c r="AH77" s="65"/>
      <c r="AI77" s="65"/>
      <c r="AJ77" s="65"/>
      <c r="AK77" s="65"/>
    </row>
    <row r="78" spans="14:37">
      <c r="N78" s="65"/>
      <c r="O78" s="65"/>
      <c r="P78" s="65"/>
      <c r="Q78" s="65"/>
      <c r="R78" s="65"/>
      <c r="S78" s="65"/>
      <c r="T78" s="65"/>
      <c r="U78" s="65"/>
      <c r="V78" s="65"/>
      <c r="W78" s="65"/>
      <c r="X78" s="65"/>
      <c r="Y78" s="65"/>
      <c r="Z78" s="65"/>
      <c r="AA78" s="65"/>
      <c r="AB78" s="65"/>
      <c r="AC78" s="65"/>
      <c r="AD78" s="65"/>
      <c r="AE78" s="65"/>
      <c r="AF78" s="65"/>
      <c r="AG78" s="65"/>
      <c r="AH78" s="65"/>
      <c r="AI78" s="65"/>
      <c r="AJ78" s="65"/>
      <c r="AK78" s="65"/>
    </row>
    <row r="79" spans="14:37">
      <c r="N79" s="65"/>
      <c r="O79" s="65"/>
      <c r="P79" s="65"/>
      <c r="Q79" s="65"/>
      <c r="R79" s="65"/>
      <c r="S79" s="65"/>
      <c r="T79" s="65"/>
      <c r="U79" s="65"/>
      <c r="V79" s="65"/>
      <c r="W79" s="65"/>
      <c r="X79" s="65"/>
      <c r="Y79" s="65"/>
      <c r="Z79" s="65"/>
      <c r="AA79" s="65"/>
      <c r="AB79" s="65"/>
      <c r="AC79" s="65"/>
      <c r="AD79" s="65"/>
      <c r="AE79" s="65"/>
      <c r="AF79" s="65"/>
      <c r="AG79" s="65"/>
      <c r="AH79" s="65"/>
      <c r="AI79" s="65"/>
      <c r="AJ79" s="65"/>
      <c r="AK79" s="65"/>
    </row>
    <row r="80" spans="14:37">
      <c r="N80" s="65"/>
      <c r="O80" s="65"/>
      <c r="P80" s="65"/>
      <c r="Q80" s="65"/>
      <c r="R80" s="65"/>
      <c r="S80" s="65"/>
      <c r="T80" s="65"/>
      <c r="U80" s="65"/>
      <c r="V80" s="65"/>
      <c r="W80" s="65"/>
      <c r="X80" s="65"/>
      <c r="Y80" s="65"/>
      <c r="Z80" s="65"/>
      <c r="AA80" s="65"/>
      <c r="AB80" s="65"/>
      <c r="AC80" s="65"/>
      <c r="AD80" s="65"/>
      <c r="AE80" s="65"/>
      <c r="AF80" s="65"/>
      <c r="AG80" s="65"/>
      <c r="AH80" s="65"/>
      <c r="AI80" s="65"/>
      <c r="AJ80" s="65"/>
      <c r="AK80" s="65"/>
    </row>
    <row r="81" spans="14:37">
      <c r="N81" s="65"/>
      <c r="O81" s="65"/>
      <c r="P81" s="65"/>
      <c r="Q81" s="65"/>
      <c r="R81" s="65"/>
      <c r="S81" s="65"/>
      <c r="T81" s="65"/>
      <c r="U81" s="65"/>
      <c r="V81" s="65"/>
      <c r="W81" s="65"/>
      <c r="X81" s="65"/>
      <c r="Y81" s="65"/>
      <c r="Z81" s="65"/>
      <c r="AA81" s="65"/>
      <c r="AB81" s="65"/>
      <c r="AC81" s="65"/>
      <c r="AD81" s="65"/>
      <c r="AE81" s="65"/>
      <c r="AF81" s="65"/>
      <c r="AG81" s="65"/>
      <c r="AH81" s="65"/>
      <c r="AI81" s="65"/>
      <c r="AJ81" s="65"/>
      <c r="AK81" s="65"/>
    </row>
    <row r="82" spans="14:37">
      <c r="N82" s="65"/>
      <c r="O82" s="65"/>
      <c r="P82" s="65"/>
      <c r="Q82" s="65"/>
      <c r="R82" s="65"/>
      <c r="S82" s="65"/>
      <c r="T82" s="65"/>
      <c r="U82" s="65"/>
      <c r="V82" s="65"/>
      <c r="W82" s="65"/>
      <c r="X82" s="65"/>
      <c r="Y82" s="65"/>
      <c r="Z82" s="65"/>
      <c r="AA82" s="65"/>
      <c r="AB82" s="65"/>
      <c r="AC82" s="65"/>
      <c r="AD82" s="65"/>
      <c r="AE82" s="65"/>
      <c r="AF82" s="65"/>
      <c r="AG82" s="65"/>
      <c r="AH82" s="65"/>
      <c r="AI82" s="65"/>
      <c r="AJ82" s="65"/>
      <c r="AK82" s="65"/>
    </row>
    <row r="83" spans="14:37">
      <c r="N83" s="65"/>
      <c r="O83" s="65"/>
      <c r="P83" s="65"/>
      <c r="Q83" s="65"/>
      <c r="R83" s="65"/>
      <c r="S83" s="65"/>
      <c r="T83" s="65"/>
      <c r="U83" s="65"/>
      <c r="V83" s="65"/>
      <c r="W83" s="65"/>
      <c r="X83" s="65"/>
      <c r="Y83" s="65"/>
      <c r="Z83" s="65"/>
      <c r="AA83" s="65"/>
      <c r="AB83" s="65"/>
      <c r="AC83" s="65"/>
      <c r="AD83" s="65"/>
      <c r="AE83" s="65"/>
      <c r="AF83" s="65"/>
      <c r="AG83" s="65"/>
      <c r="AH83" s="65"/>
      <c r="AI83" s="65"/>
      <c r="AJ83" s="65"/>
      <c r="AK83" s="65"/>
    </row>
    <row r="84" spans="14:37">
      <c r="N84" s="65"/>
      <c r="O84" s="65"/>
      <c r="P84" s="65"/>
      <c r="Q84" s="65"/>
      <c r="R84" s="65"/>
      <c r="S84" s="65"/>
      <c r="T84" s="65"/>
      <c r="U84" s="65"/>
      <c r="V84" s="65"/>
      <c r="W84" s="65"/>
      <c r="X84" s="65"/>
      <c r="Y84" s="65"/>
      <c r="Z84" s="65"/>
      <c r="AA84" s="65"/>
      <c r="AB84" s="65"/>
      <c r="AC84" s="65"/>
      <c r="AD84" s="65"/>
      <c r="AE84" s="65"/>
      <c r="AF84" s="65"/>
      <c r="AG84" s="65"/>
      <c r="AH84" s="65"/>
      <c r="AI84" s="65"/>
      <c r="AJ84" s="65"/>
      <c r="AK84" s="65"/>
    </row>
    <row r="85" spans="14:37">
      <c r="N85" s="65"/>
      <c r="O85" s="65"/>
      <c r="P85" s="65"/>
      <c r="Q85" s="65"/>
      <c r="R85" s="65"/>
      <c r="S85" s="65"/>
      <c r="T85" s="65"/>
      <c r="U85" s="65"/>
      <c r="V85" s="65"/>
      <c r="W85" s="65"/>
      <c r="X85" s="65"/>
      <c r="Y85" s="65"/>
      <c r="Z85" s="65"/>
      <c r="AA85" s="65"/>
      <c r="AB85" s="65"/>
      <c r="AC85" s="65"/>
      <c r="AD85" s="65"/>
      <c r="AE85" s="65"/>
      <c r="AF85" s="65"/>
      <c r="AG85" s="65"/>
      <c r="AH85" s="65"/>
      <c r="AI85" s="65"/>
      <c r="AJ85" s="65"/>
      <c r="AK85" s="65"/>
    </row>
    <row r="86" spans="14:37">
      <c r="N86" s="65"/>
      <c r="O86" s="65"/>
      <c r="P86" s="65"/>
      <c r="Q86" s="65"/>
      <c r="R86" s="65"/>
      <c r="S86" s="65"/>
      <c r="T86" s="65"/>
      <c r="U86" s="65"/>
      <c r="V86" s="65"/>
      <c r="W86" s="65"/>
      <c r="X86" s="65"/>
      <c r="Y86" s="65"/>
      <c r="Z86" s="65"/>
      <c r="AA86" s="65"/>
      <c r="AB86" s="65"/>
      <c r="AC86" s="65"/>
      <c r="AD86" s="65"/>
      <c r="AE86" s="65"/>
      <c r="AF86" s="65"/>
      <c r="AG86" s="65"/>
      <c r="AH86" s="65"/>
      <c r="AI86" s="65"/>
      <c r="AJ86" s="65"/>
      <c r="AK86" s="65"/>
    </row>
    <row r="87" spans="14:37">
      <c r="N87" s="65"/>
      <c r="O87" s="65"/>
      <c r="P87" s="65"/>
      <c r="Q87" s="65"/>
      <c r="R87" s="65"/>
      <c r="S87" s="65"/>
      <c r="T87" s="65"/>
      <c r="U87" s="65"/>
      <c r="V87" s="65"/>
      <c r="W87" s="65"/>
      <c r="X87" s="65"/>
      <c r="Y87" s="65"/>
      <c r="Z87" s="65"/>
      <c r="AA87" s="65"/>
      <c r="AB87" s="65"/>
      <c r="AC87" s="65"/>
      <c r="AD87" s="65"/>
      <c r="AE87" s="65"/>
      <c r="AF87" s="65"/>
      <c r="AG87" s="65"/>
      <c r="AH87" s="65"/>
      <c r="AI87" s="65"/>
      <c r="AJ87" s="65"/>
      <c r="AK87" s="65"/>
    </row>
    <row r="88" spans="14:37">
      <c r="N88" s="65"/>
      <c r="O88" s="65"/>
      <c r="P88" s="65"/>
      <c r="Q88" s="65"/>
      <c r="R88" s="65"/>
      <c r="S88" s="65"/>
      <c r="T88" s="65"/>
      <c r="U88" s="65"/>
      <c r="V88" s="65"/>
      <c r="W88" s="65"/>
      <c r="X88" s="65"/>
      <c r="Y88" s="65"/>
      <c r="Z88" s="65"/>
      <c r="AA88" s="65"/>
      <c r="AB88" s="65"/>
      <c r="AC88" s="65"/>
      <c r="AD88" s="65"/>
      <c r="AE88" s="65"/>
      <c r="AF88" s="65"/>
      <c r="AG88" s="65"/>
      <c r="AH88" s="65"/>
      <c r="AI88" s="65"/>
      <c r="AJ88" s="65"/>
      <c r="AK88" s="65"/>
    </row>
    <row r="89" spans="14:37">
      <c r="N89" s="65"/>
      <c r="O89" s="65"/>
      <c r="P89" s="65"/>
      <c r="Q89" s="65"/>
      <c r="R89" s="65"/>
      <c r="S89" s="65"/>
      <c r="T89" s="65"/>
      <c r="U89" s="65"/>
      <c r="V89" s="65"/>
      <c r="W89" s="65"/>
      <c r="X89" s="65"/>
      <c r="Y89" s="65"/>
      <c r="Z89" s="65"/>
      <c r="AA89" s="65"/>
      <c r="AB89" s="65"/>
      <c r="AC89" s="65"/>
      <c r="AD89" s="65"/>
      <c r="AE89" s="65"/>
      <c r="AF89" s="65"/>
      <c r="AG89" s="65"/>
      <c r="AH89" s="65"/>
      <c r="AI89" s="65"/>
      <c r="AJ89" s="65"/>
      <c r="AK89" s="65"/>
    </row>
    <row r="90" spans="14:37">
      <c r="N90" s="65"/>
      <c r="O90" s="65"/>
      <c r="P90" s="65"/>
      <c r="Q90" s="65"/>
      <c r="R90" s="65"/>
      <c r="S90" s="65"/>
      <c r="T90" s="65"/>
      <c r="U90" s="65"/>
      <c r="V90" s="65"/>
      <c r="W90" s="65"/>
      <c r="X90" s="65"/>
      <c r="Y90" s="65"/>
      <c r="Z90" s="65"/>
      <c r="AA90" s="65"/>
      <c r="AB90" s="65"/>
      <c r="AC90" s="65"/>
      <c r="AD90" s="65"/>
      <c r="AE90" s="65"/>
      <c r="AF90" s="65"/>
      <c r="AG90" s="65"/>
      <c r="AH90" s="65"/>
      <c r="AI90" s="65"/>
      <c r="AJ90" s="65"/>
      <c r="AK90" s="65"/>
    </row>
    <row r="91" spans="14:37">
      <c r="N91" s="65"/>
      <c r="O91" s="65"/>
      <c r="P91" s="65"/>
      <c r="Q91" s="65"/>
      <c r="R91" s="65"/>
      <c r="S91" s="65"/>
      <c r="T91" s="65"/>
      <c r="U91" s="65"/>
      <c r="V91" s="65"/>
      <c r="W91" s="65"/>
      <c r="X91" s="65"/>
      <c r="Y91" s="65"/>
      <c r="Z91" s="65"/>
      <c r="AA91" s="65"/>
      <c r="AB91" s="65"/>
      <c r="AC91" s="65"/>
      <c r="AD91" s="65"/>
      <c r="AE91" s="65"/>
      <c r="AF91" s="65"/>
      <c r="AG91" s="65"/>
      <c r="AH91" s="65"/>
      <c r="AI91" s="65"/>
      <c r="AJ91" s="65"/>
      <c r="AK91" s="65"/>
    </row>
    <row r="92" spans="14:37">
      <c r="N92" s="65"/>
      <c r="O92" s="65"/>
      <c r="P92" s="65"/>
      <c r="Q92" s="65"/>
      <c r="R92" s="65"/>
      <c r="S92" s="65"/>
      <c r="T92" s="65"/>
      <c r="U92" s="65"/>
      <c r="V92" s="65"/>
      <c r="W92" s="65"/>
      <c r="X92" s="65"/>
      <c r="Y92" s="65"/>
      <c r="Z92" s="65"/>
      <c r="AA92" s="65"/>
      <c r="AB92" s="65"/>
      <c r="AC92" s="65"/>
      <c r="AD92" s="65"/>
      <c r="AE92" s="65"/>
      <c r="AF92" s="65"/>
      <c r="AG92" s="65"/>
      <c r="AH92" s="65"/>
      <c r="AI92" s="65"/>
      <c r="AJ92" s="65"/>
      <c r="AK92" s="65"/>
    </row>
    <row r="93" spans="14:37">
      <c r="N93" s="65"/>
      <c r="O93" s="65"/>
      <c r="P93" s="65"/>
      <c r="Q93" s="65"/>
      <c r="R93" s="65"/>
      <c r="S93" s="65"/>
      <c r="T93" s="65"/>
      <c r="U93" s="65"/>
      <c r="V93" s="65"/>
      <c r="W93" s="65"/>
      <c r="X93" s="65"/>
      <c r="Y93" s="65"/>
      <c r="Z93" s="65"/>
      <c r="AA93" s="65"/>
      <c r="AB93" s="65"/>
      <c r="AC93" s="65"/>
      <c r="AD93" s="65"/>
      <c r="AE93" s="65"/>
      <c r="AF93" s="65"/>
      <c r="AG93" s="65"/>
      <c r="AH93" s="65"/>
      <c r="AI93" s="65"/>
      <c r="AJ93" s="65"/>
      <c r="AK93" s="65"/>
    </row>
    <row r="94" spans="14:37">
      <c r="N94" s="65"/>
      <c r="O94" s="65"/>
      <c r="P94" s="65"/>
      <c r="Q94" s="65"/>
      <c r="R94" s="65"/>
      <c r="S94" s="65"/>
      <c r="T94" s="65"/>
      <c r="U94" s="65"/>
      <c r="V94" s="65"/>
      <c r="W94" s="65"/>
      <c r="X94" s="65"/>
      <c r="Y94" s="65"/>
      <c r="Z94" s="65"/>
      <c r="AA94" s="65"/>
      <c r="AB94" s="65"/>
      <c r="AC94" s="65"/>
      <c r="AD94" s="65"/>
      <c r="AE94" s="65"/>
      <c r="AF94" s="65"/>
      <c r="AG94" s="65"/>
      <c r="AH94" s="65"/>
      <c r="AI94" s="65"/>
      <c r="AJ94" s="65"/>
      <c r="AK94" s="65"/>
    </row>
    <row r="95" spans="14:37">
      <c r="N95" s="65"/>
      <c r="O95" s="65"/>
      <c r="P95" s="65"/>
      <c r="Q95" s="65"/>
      <c r="R95" s="65"/>
      <c r="S95" s="65"/>
      <c r="T95" s="65"/>
      <c r="U95" s="65"/>
      <c r="V95" s="65"/>
      <c r="W95" s="65"/>
      <c r="X95" s="65"/>
      <c r="Y95" s="65"/>
      <c r="Z95" s="65"/>
      <c r="AA95" s="65"/>
      <c r="AB95" s="65"/>
      <c r="AC95" s="65"/>
      <c r="AD95" s="65"/>
      <c r="AE95" s="65"/>
      <c r="AF95" s="65"/>
      <c r="AG95" s="65"/>
      <c r="AH95" s="65"/>
      <c r="AI95" s="65"/>
      <c r="AJ95" s="65"/>
      <c r="AK95" s="65"/>
    </row>
    <row r="96" spans="14:37">
      <c r="N96" s="65"/>
      <c r="O96" s="65"/>
      <c r="P96" s="65"/>
      <c r="Q96" s="65"/>
      <c r="R96" s="65"/>
      <c r="S96" s="65"/>
      <c r="T96" s="65"/>
      <c r="U96" s="65"/>
      <c r="V96" s="65"/>
      <c r="W96" s="65"/>
      <c r="X96" s="65"/>
      <c r="Y96" s="65"/>
      <c r="Z96" s="65"/>
      <c r="AA96" s="65"/>
      <c r="AB96" s="65"/>
      <c r="AC96" s="65"/>
      <c r="AD96" s="65"/>
      <c r="AE96" s="65"/>
      <c r="AF96" s="65"/>
      <c r="AG96" s="65"/>
      <c r="AH96" s="65"/>
      <c r="AI96" s="65"/>
      <c r="AJ96" s="65"/>
      <c r="AK96" s="65"/>
    </row>
    <row r="97" spans="14:37">
      <c r="N97" s="65"/>
      <c r="O97" s="65"/>
      <c r="P97" s="65"/>
      <c r="Q97" s="65"/>
      <c r="R97" s="65"/>
      <c r="S97" s="65"/>
      <c r="T97" s="65"/>
      <c r="U97" s="65"/>
      <c r="V97" s="65"/>
      <c r="W97" s="65"/>
      <c r="X97" s="65"/>
      <c r="Y97" s="65"/>
      <c r="Z97" s="65"/>
      <c r="AA97" s="65"/>
      <c r="AB97" s="65"/>
      <c r="AC97" s="65"/>
      <c r="AD97" s="65"/>
      <c r="AE97" s="65"/>
      <c r="AF97" s="65"/>
      <c r="AG97" s="65"/>
      <c r="AH97" s="65"/>
      <c r="AI97" s="65"/>
      <c r="AJ97" s="65"/>
      <c r="AK97" s="65"/>
    </row>
    <row r="98" spans="14:37">
      <c r="N98" s="65"/>
      <c r="O98" s="65"/>
      <c r="P98" s="65"/>
      <c r="Q98" s="65"/>
      <c r="R98" s="65"/>
      <c r="S98" s="65"/>
      <c r="T98" s="65"/>
      <c r="U98" s="65"/>
      <c r="V98" s="65"/>
      <c r="W98" s="65"/>
      <c r="X98" s="65"/>
      <c r="Y98" s="65"/>
      <c r="Z98" s="65"/>
      <c r="AA98" s="65"/>
      <c r="AB98" s="65"/>
      <c r="AC98" s="65"/>
      <c r="AD98" s="65"/>
      <c r="AE98" s="65"/>
      <c r="AF98" s="65"/>
      <c r="AG98" s="65"/>
      <c r="AH98" s="65"/>
      <c r="AI98" s="65"/>
      <c r="AJ98" s="65"/>
      <c r="AK98" s="65"/>
    </row>
    <row r="99" spans="14:37">
      <c r="N99" s="65"/>
      <c r="O99" s="65"/>
      <c r="P99" s="65"/>
      <c r="Q99" s="65"/>
      <c r="R99" s="65"/>
      <c r="S99" s="65"/>
      <c r="T99" s="65"/>
      <c r="U99" s="65"/>
      <c r="V99" s="65"/>
      <c r="W99" s="65"/>
      <c r="X99" s="65"/>
      <c r="Y99" s="65"/>
      <c r="Z99" s="65"/>
      <c r="AA99" s="65"/>
      <c r="AB99" s="65"/>
      <c r="AC99" s="65"/>
      <c r="AD99" s="65"/>
      <c r="AE99" s="65"/>
      <c r="AF99" s="65"/>
      <c r="AG99" s="65"/>
      <c r="AH99" s="65"/>
      <c r="AI99" s="65"/>
      <c r="AJ99" s="65"/>
      <c r="AK99" s="65"/>
    </row>
    <row r="100" spans="14:37">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row>
    <row r="101" spans="14:37">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row>
    <row r="102" spans="14:37">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row>
    <row r="103" spans="14:37">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row>
    <row r="104" spans="14:37">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row>
    <row r="105" spans="14:37">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row>
    <row r="107" spans="12:12">
      <c r="L107" s="1"/>
    </row>
  </sheetData>
  <sheetProtection selectLockedCells="1" selectUnlockedCells="1"/>
  <pageMargins left="0.7" right="0.7" top="0.75" bottom="0.75" header="0.3" footer="0.3"/>
  <pageSetup paperSize="1" scale="35" orientation="landscape"/>
  <headerFooter>
    <oddHeader>&amp;R&amp;"Calibri"&amp;10&amp;K808080EIU / HUAWEI ICT GLOBALISATION INDEX 2013</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C000"/>
  </sheetPr>
  <dimension ref="A1:AZ63"/>
  <sheetViews>
    <sheetView topLeftCell="A28" workbookViewId="0">
      <selection activeCell="C58" sqref="C58"/>
    </sheetView>
  </sheetViews>
  <sheetFormatPr defaultColWidth="9" defaultRowHeight="11.25"/>
  <cols>
    <col min="1" max="1" width="9.14285714285714" style="24"/>
    <col min="2" max="2" width="4.42857142857143" style="24" customWidth="1"/>
    <col min="3" max="3" width="9.14285714285714" style="24"/>
    <col min="4" max="4" width="6.42857142857143" style="24" customWidth="1"/>
    <col min="5" max="5" width="4.42857142857143" style="24" customWidth="1"/>
    <col min="6" max="8" width="4.14285714285714" style="24" customWidth="1"/>
    <col min="9" max="13" width="9.14285714285714" style="24"/>
    <col min="14" max="14" width="4.71428571428571" style="24" customWidth="1"/>
    <col min="15" max="22" width="3.85714285714286" style="24" customWidth="1"/>
    <col min="23" max="23" width="9.14285714285714" style="24"/>
    <col min="24" max="24" width="6.71428571428571" style="24" customWidth="1"/>
    <col min="25" max="33" width="4.57142857142857" style="24" customWidth="1"/>
    <col min="34" max="34" width="4.71428571428571" style="24" customWidth="1"/>
    <col min="35" max="52" width="4.57142857142857" style="24" customWidth="1"/>
    <col min="53" max="16384" width="9.14285714285714" style="24"/>
  </cols>
  <sheetData>
    <row r="1" spans="24:24">
      <c r="X1" s="186" t="s">
        <v>64</v>
      </c>
    </row>
    <row r="2" spans="1:24">
      <c r="A2" s="24" t="s">
        <v>388</v>
      </c>
      <c r="B2" s="24">
        <f>uxbWorks!$B$16</f>
        <v>49</v>
      </c>
      <c r="X2" s="186" t="s">
        <v>122</v>
      </c>
    </row>
    <row r="3" spans="1:24">
      <c r="A3" s="24" t="s">
        <v>386</v>
      </c>
      <c r="B3" s="24">
        <f>uxbWorks!B15</f>
        <v>38</v>
      </c>
      <c r="X3" s="186" t="s">
        <v>179</v>
      </c>
    </row>
    <row r="4" spans="1:24">
      <c r="A4" s="24" t="str">
        <f>uxbWorks!A25</f>
        <v>cnt_filter_group</v>
      </c>
      <c r="B4" s="24">
        <f>uxbWorks!B25</f>
        <v>1</v>
      </c>
      <c r="X4" s="186" t="s">
        <v>221</v>
      </c>
    </row>
    <row r="8" spans="2:2">
      <c r="B8" s="182"/>
    </row>
    <row r="11" spans="3:44">
      <c r="C11" s="24" t="str">
        <f>tblIndiSets!A3</f>
        <v>TOTAL</v>
      </c>
      <c r="N11" s="24" t="str">
        <f>tblIndiSets!A4</f>
        <v>DIGSEC</v>
      </c>
      <c r="X11" s="186" t="str">
        <f>tblIndiSets!A5</f>
        <v>HELSEC</v>
      </c>
      <c r="AH11" s="186" t="str">
        <f>tblIndiSets!A6</f>
        <v>INFSAF</v>
      </c>
      <c r="AR11" s="24" t="str">
        <f>tblIndiSets!A7</f>
        <v>PERSAF</v>
      </c>
    </row>
    <row r="12" spans="3:44">
      <c r="C12" s="24">
        <f>MATCH(C11,tblIndicators!$B$2:$B$58,0)</f>
        <v>1</v>
      </c>
      <c r="G12" s="183"/>
      <c r="H12" s="183"/>
      <c r="I12" s="183"/>
      <c r="J12" s="183"/>
      <c r="N12" s="24">
        <f>MATCH(N11,tblIndicators!$B$2:$B$58,0)</f>
        <v>2</v>
      </c>
      <c r="X12" s="24">
        <f>MATCH(X11,tblIndicators!$B$2:$B$58,0)</f>
        <v>14</v>
      </c>
      <c r="AH12" s="24">
        <f>MATCH(AH11,tblIndicators!$B$2:$B$58,0)</f>
        <v>28</v>
      </c>
      <c r="AR12" s="24">
        <f>MATCH(AR11,tblIndicators!$B$2:$B$58,0)</f>
        <v>40</v>
      </c>
    </row>
    <row r="13" spans="3:52">
      <c r="C13" s="14" t="s">
        <v>376</v>
      </c>
      <c r="D13" s="14" t="s">
        <v>403</v>
      </c>
      <c r="E13" s="24" t="s">
        <v>413</v>
      </c>
      <c r="G13" s="184"/>
      <c r="H13" s="184" t="str">
        <f>INDEX(tblIndicators!$H$2:$H$58,C12)</f>
        <v>TOTAL SCORE</v>
      </c>
      <c r="I13" s="184"/>
      <c r="J13" s="184"/>
      <c r="K13" s="184"/>
      <c r="L13" s="184"/>
      <c r="N13" s="14" t="s">
        <v>376</v>
      </c>
      <c r="O13" s="14" t="s">
        <v>403</v>
      </c>
      <c r="P13" s="24" t="s">
        <v>413</v>
      </c>
      <c r="R13" s="184"/>
      <c r="S13" s="184" t="str">
        <f>INDEX(tblIndicators!$H$2:$H$58,N12)</f>
        <v>DIGITAL SECURITY</v>
      </c>
      <c r="T13" s="184"/>
      <c r="U13" s="184"/>
      <c r="V13" s="184"/>
      <c r="X13" s="14" t="s">
        <v>376</v>
      </c>
      <c r="Y13" s="14" t="s">
        <v>403</v>
      </c>
      <c r="Z13" s="24" t="s">
        <v>413</v>
      </c>
      <c r="AB13" s="184"/>
      <c r="AC13" s="184" t="str">
        <f>INDEX(tblIndicators!$H$2:$H$58,X12)</f>
        <v>HEALTH SECURITY</v>
      </c>
      <c r="AD13" s="184"/>
      <c r="AE13" s="184"/>
      <c r="AF13" s="184"/>
      <c r="AH13" s="14" t="s">
        <v>376</v>
      </c>
      <c r="AI13" s="14" t="s">
        <v>403</v>
      </c>
      <c r="AJ13" s="24" t="s">
        <v>413</v>
      </c>
      <c r="AL13" s="184"/>
      <c r="AM13" s="184" t="str">
        <f>INDEX(tblIndicators!$H$2:$H$58,AH12)</f>
        <v>INFRASTRUCTURE SAFETY</v>
      </c>
      <c r="AN13" s="184"/>
      <c r="AO13" s="184"/>
      <c r="AP13" s="184"/>
      <c r="AR13" s="14" t="s">
        <v>376</v>
      </c>
      <c r="AS13" s="14" t="s">
        <v>403</v>
      </c>
      <c r="AT13" s="24" t="s">
        <v>413</v>
      </c>
      <c r="AV13" s="184"/>
      <c r="AW13" s="184" t="str">
        <f>INDEX(tblIndicators!$H$2:$H$58,AR12)</f>
        <v>PERSONAL SAFETY</v>
      </c>
      <c r="AX13" s="184"/>
      <c r="AY13" s="184"/>
      <c r="AZ13" s="184"/>
    </row>
    <row r="14" spans="1:52">
      <c r="A14" s="24">
        <v>1</v>
      </c>
      <c r="B14" s="24" t="str">
        <f>tblCities!C3</f>
        <v>Stockholm</v>
      </c>
      <c r="C14" s="14">
        <f t="shared" ref="C14" si="0">IF(L14=1,INDEX(aRoundedScores,C$12,$A14),"")</f>
        <v>80.02</v>
      </c>
      <c r="D14" s="14">
        <f>RANK(C14,C$14:C$63)+COUNTIF(C$14:C14,C14)-1</f>
        <v>4</v>
      </c>
      <c r="E14" s="24">
        <f>MATCH($A14,D$14:D$63,0)</f>
        <v>28</v>
      </c>
      <c r="F14" s="24">
        <f t="shared" ref="F14" si="1">INDEX(aRankedScores,C$12,E14)</f>
        <v>1</v>
      </c>
      <c r="G14" s="24">
        <f t="shared" ref="G14" si="2">IF(ISNA(INDEX(luCountryStatus,E14)),0,INDEX(luCountryStatus,E14))</f>
        <v>2</v>
      </c>
      <c r="H14" s="14">
        <f>IF(G14=0,"",IF(COUNTIF(F$14:F$63,F14)&gt;1,CONCATENATE("=",F14),F14))</f>
        <v>1</v>
      </c>
      <c r="I14" s="24" t="str">
        <f t="shared" ref="I14" si="3">IF(G14=0,"",INDEX(luCountry,E14))</f>
        <v>Tokyo</v>
      </c>
      <c r="J14" s="24">
        <f>IF(G14=0,"",INDEX(C$14:C$63,E14))</f>
        <v>85.63</v>
      </c>
      <c r="K14" s="185" t="str">
        <f>REPT("|",J14/2)</f>
        <v>||||||||||||||||||||||||||||||||||||||||||</v>
      </c>
      <c r="L14" s="185">
        <f>INDEX(tblCities!$H$3:$L$52,A14,$B$4)</f>
        <v>1</v>
      </c>
      <c r="N14" s="14">
        <f t="shared" ref="N14" si="4">IF(L14=1,INDEX(aRoundedScores,N$12,$A14),"")</f>
        <v>74.82</v>
      </c>
      <c r="O14" s="14">
        <f>RANK(N14,N$14:N$63)+COUNTIF(N$14:N14,N14)-1</f>
        <v>7</v>
      </c>
      <c r="P14" s="24">
        <f>MATCH($A14,O$14:O$63,0)</f>
        <v>28</v>
      </c>
      <c r="Q14" s="24">
        <f t="shared" ref="Q14" si="5">INDEX(aRankedScores,N$12,P14)</f>
        <v>1</v>
      </c>
      <c r="R14" s="24">
        <f t="shared" ref="R14" si="6">IF(ISNA(INDEX(luCountryStatus,P14)),0,INDEX(luCountryStatus,P14))</f>
        <v>2</v>
      </c>
      <c r="S14" s="14">
        <f>IF(R14=0,"",IF(COUNTIF(Q$14:Q$63,Q14)&gt;1,CONCATENATE("=",Q14),Q14))</f>
        <v>1</v>
      </c>
      <c r="T14" s="24" t="str">
        <f t="shared" ref="T14" si="7">IF(R14=0,"",INDEX(luCountry,P14))</f>
        <v>Tokyo</v>
      </c>
      <c r="U14" s="24">
        <f>IF(R14=0,"",INDEX(N$14:N$63,P14))</f>
        <v>87.18</v>
      </c>
      <c r="V14" s="185" t="str">
        <f>REPT("|",U14/2)</f>
        <v>|||||||||||||||||||||||||||||||||||||||||||</v>
      </c>
      <c r="X14" s="14">
        <f t="shared" ref="X14" si="8">IF(L14=1,INDEX(aRoundedScores,X$12,$A14),"")</f>
        <v>75.83</v>
      </c>
      <c r="Y14" s="14">
        <f>RANK(X14,X$14:X$63)+COUNTIF(X$14:X14,X14)-1</f>
        <v>10</v>
      </c>
      <c r="Z14" s="24">
        <f>MATCH($A14,Y$14:Y$63,0)</f>
        <v>48</v>
      </c>
      <c r="AA14" s="24">
        <f t="shared" ref="AA14" si="9">INDEX(aRankedScores,X$12,Z14)</f>
        <v>1</v>
      </c>
      <c r="AB14" s="24">
        <f t="shared" ref="AB14" si="10">IF(ISNA(INDEX(luCountryStatus,Z14)),0,INDEX(luCountryStatus,Z14))</f>
        <v>2</v>
      </c>
      <c r="AC14" s="14">
        <f>IF(AB14=0,"",IF(COUNTIF(AA$14:AA$63,AA14)&gt;1,CONCATENATE("=",AA14),AA14))</f>
        <v>1</v>
      </c>
      <c r="AD14" s="24" t="str">
        <f t="shared" ref="AD14" si="11">IF(AB14=0,"",INDEX(luCountry,Z14))</f>
        <v>Zurich</v>
      </c>
      <c r="AE14" s="24">
        <f>IF(AB14=0,"",INDEX(X$14:X$63,Z14))</f>
        <v>79.05</v>
      </c>
      <c r="AF14" s="185" t="str">
        <f>REPT("|",AE14/2)</f>
        <v>|||||||||||||||||||||||||||||||||||||||</v>
      </c>
      <c r="AH14" s="14">
        <f t="shared" ref="AH14" si="12">IF(L14=1,INDEX(aRoundedScores,AH$12,$A14),"")</f>
        <v>81.92</v>
      </c>
      <c r="AI14" s="14">
        <f>RANK(AH14,AH$14:AH$63)+COUNTIF(AH$14:AH14,AH14)-1</f>
        <v>21</v>
      </c>
      <c r="AJ14" s="24">
        <f>MATCH($A14,AI$14:AI$63,0)</f>
        <v>48</v>
      </c>
      <c r="AK14" s="24">
        <f t="shared" ref="AK14" si="13">INDEX(aRankedScores,AH$12,AJ14)</f>
        <v>1</v>
      </c>
      <c r="AL14" s="24">
        <f t="shared" ref="AL14" si="14">IF(ISNA(INDEX(luCountryStatus,AJ14)),0,INDEX(luCountryStatus,AJ14))</f>
        <v>2</v>
      </c>
      <c r="AM14" s="14">
        <f>IF(AL14=0,"",IF(COUNTIF(AK$14:AK$63,AK14)&gt;1,CONCATENATE("=",AK14),AK14))</f>
        <v>1</v>
      </c>
      <c r="AN14" s="24" t="str">
        <f t="shared" ref="AN14" si="15">IF(AL14=0,"",INDEX(luCountry,AJ14))</f>
        <v>Zurich</v>
      </c>
      <c r="AO14" s="24">
        <f>IF(AL14=0,"",INDEX(AH$14:AH$63,AJ14))</f>
        <v>92.63</v>
      </c>
      <c r="AP14" s="185" t="str">
        <f>REPT("|",AO14/2)</f>
        <v>||||||||||||||||||||||||||||||||||||||||||||||</v>
      </c>
      <c r="AR14" s="14">
        <f t="shared" ref="AR14" si="16">IF(L14=1,INDEX(aRoundedScores,AR$12,$A14),"")</f>
        <v>87.51</v>
      </c>
      <c r="AS14" s="14">
        <f>RANK(AR14,AR$14:AR$63)+COUNTIF(AR$14:AR14,AR14)-1</f>
        <v>4</v>
      </c>
      <c r="AT14" s="24">
        <f>MATCH($A14,AS$14:AS$63,0)</f>
        <v>30</v>
      </c>
      <c r="AU14" s="24">
        <f t="shared" ref="AU14" si="17">INDEX(aRankedScores,AR$12,AT14)</f>
        <v>1</v>
      </c>
      <c r="AV14" s="24">
        <f t="shared" ref="AV14" si="18">IF(ISNA(INDEX(luCountryStatus,AT14)),0,INDEX(luCountryStatus,AT14))</f>
        <v>2</v>
      </c>
      <c r="AW14" s="14">
        <f>IF(AV14=0,"",IF(COUNTIF(AU$14:AU$63,AU14)&gt;1,CONCATENATE("=",AU14),AU14))</f>
        <v>1</v>
      </c>
      <c r="AX14" s="24" t="str">
        <f t="shared" ref="AX14" si="19">IF(AV14=0,"",INDEX(luCountry,AT14))</f>
        <v>Singapore</v>
      </c>
      <c r="AY14" s="24">
        <f>IF(AV14=0,"",INDEX(AR$14:AR$63,AT14))</f>
        <v>90.42</v>
      </c>
      <c r="AZ14" s="185" t="str">
        <f>REPT("|",AY14/2)</f>
        <v>|||||||||||||||||||||||||||||||||||||||||||||</v>
      </c>
    </row>
    <row r="15" spans="1:52">
      <c r="A15" s="24">
        <v>2</v>
      </c>
      <c r="B15" s="24" t="str">
        <f>tblCities!C4</f>
        <v>Johannesburg</v>
      </c>
      <c r="C15" s="14">
        <f t="shared" ref="C15:C63" si="20">IF(L15=1,INDEX(aRoundedScores,C$12,$A15),"")</f>
        <v>56.26</v>
      </c>
      <c r="D15" s="14">
        <f>RANK(C15,C$14:C$63)+COUNTIF(C$14:C15,C15)-1</f>
        <v>47</v>
      </c>
      <c r="E15" s="24">
        <f t="shared" ref="E15:E63" si="21">MATCH($A15,D$14:D$63,0)</f>
        <v>30</v>
      </c>
      <c r="F15" s="24">
        <f t="shared" ref="F15:F63" si="22">INDEX(aRankedScores,C$12,E15)</f>
        <v>2</v>
      </c>
      <c r="G15" s="24">
        <f t="shared" ref="G15:G63" si="23">IF(ISNA(INDEX(luCountryStatus,E15)),0,INDEX(luCountryStatus,E15))</f>
        <v>2</v>
      </c>
      <c r="H15" s="14">
        <f t="shared" ref="H15:H63" si="24">IF(G15=0,"",IF(COUNTIF(F$14:F$63,F15)&gt;1,CONCATENATE("=",F15),F15))</f>
        <v>2</v>
      </c>
      <c r="I15" s="24" t="str">
        <f t="shared" ref="I15:I63" si="25">IF(G15=0,"",INDEX(luCountry,E15))</f>
        <v>Singapore</v>
      </c>
      <c r="J15" s="24">
        <f t="shared" ref="J15:J63" si="26">IF(G15=0,"",INDEX(C$14:C$63,E15))</f>
        <v>84.61</v>
      </c>
      <c r="K15" s="185" t="str">
        <f t="shared" ref="K15:K63" si="27">REPT("|",J15/2)</f>
        <v>||||||||||||||||||||||||||||||||||||||||||</v>
      </c>
      <c r="L15" s="185">
        <f>INDEX(tblCities!$H$3:$L$52,A15,$B$4)</f>
        <v>1</v>
      </c>
      <c r="N15" s="14">
        <f t="shared" ref="N15:N63" si="28">IF(L15=1,INDEX(aRoundedScores,N$12,$A15),"")</f>
        <v>52.9</v>
      </c>
      <c r="O15" s="14">
        <f>RANK(N15,N$14:N$63)+COUNTIF(N$14:N15,N15)-1</f>
        <v>44</v>
      </c>
      <c r="P15" s="24">
        <f t="shared" ref="P15:P63" si="29">MATCH($A15,O$14:O$63,0)</f>
        <v>30</v>
      </c>
      <c r="Q15" s="24">
        <f t="shared" ref="Q15:Q63" si="30">INDEX(aRankedScores,N$12,P15)</f>
        <v>2</v>
      </c>
      <c r="R15" s="24">
        <f t="shared" ref="R15:R63" si="31">IF(ISNA(INDEX(luCountryStatus,P15)),0,INDEX(luCountryStatus,P15))</f>
        <v>2</v>
      </c>
      <c r="S15" s="14">
        <f t="shared" ref="S15:S63" si="32">IF(R15=0,"",IF(COUNTIF(Q$14:Q$63,Q15)&gt;1,CONCATENATE("=",Q15),Q15))</f>
        <v>2</v>
      </c>
      <c r="T15" s="24" t="str">
        <f t="shared" ref="T15:T63" si="33">IF(R15=0,"",INDEX(luCountry,P15))</f>
        <v>Singapore</v>
      </c>
      <c r="U15" s="24">
        <f t="shared" ref="U15:U63" si="34">IF(R15=0,"",INDEX(N$14:N$63,P15))</f>
        <v>83.85</v>
      </c>
      <c r="V15" s="185" t="str">
        <f t="shared" ref="V15:V63" si="35">REPT("|",U15/2)</f>
        <v>|||||||||||||||||||||||||||||||||||||||||</v>
      </c>
      <c r="X15" s="14">
        <f t="shared" ref="X15:X63" si="36">IF(L15=1,INDEX(aRoundedScores,X$12,$A15),"")</f>
        <v>50.17</v>
      </c>
      <c r="Y15" s="14">
        <f>RANK(X15,X$14:X$63)+COUNTIF(X$14:X15,X15)-1</f>
        <v>47</v>
      </c>
      <c r="Z15" s="24">
        <f t="shared" ref="Z15:Z63" si="37">MATCH($A15,Y$14:Y$63,0)</f>
        <v>14</v>
      </c>
      <c r="AA15" s="24">
        <f t="shared" ref="AA15:AA63" si="38">INDEX(aRankedScores,X$12,Z15)</f>
        <v>2</v>
      </c>
      <c r="AB15" s="24">
        <f t="shared" ref="AB15:AB63" si="39">IF(ISNA(INDEX(luCountryStatus,Z15)),0,INDEX(luCountryStatus,Z15))</f>
        <v>2</v>
      </c>
      <c r="AC15" s="14">
        <f t="shared" ref="AC15:AC63" si="40">IF(AB15=0,"",IF(COUNTIF(AA$14:AA$63,AA15)&gt;1,CONCATENATE("=",AA15),AA15))</f>
        <v>2</v>
      </c>
      <c r="AD15" s="24" t="str">
        <f t="shared" ref="AD15:AD63" si="41">IF(AB15=0,"",INDEX(luCountry,Z15))</f>
        <v>New York</v>
      </c>
      <c r="AE15" s="24">
        <f t="shared" ref="AE15:AE63" si="42">IF(AB15=0,"",INDEX(X$14:X$63,Z15))</f>
        <v>78.52</v>
      </c>
      <c r="AF15" s="185" t="str">
        <f t="shared" ref="AF15:AF63" si="43">REPT("|",AE15/2)</f>
        <v>|||||||||||||||||||||||||||||||||||||||</v>
      </c>
      <c r="AH15" s="14">
        <f t="shared" ref="AH15:AH63" si="44">IF(L15=1,INDEX(aRoundedScores,AH$12,$A15),"")</f>
        <v>60.67</v>
      </c>
      <c r="AI15" s="14">
        <f>RANK(AH15,AH$14:AH$63)+COUNTIF(AH$14:AH15,AH15)-1</f>
        <v>45</v>
      </c>
      <c r="AJ15" s="24">
        <f t="shared" ref="AJ15:AJ63" si="45">MATCH($A15,AI$14:AI$63,0)</f>
        <v>17</v>
      </c>
      <c r="AK15" s="24">
        <f t="shared" ref="AK15:AK63" si="46">INDEX(aRankedScores,AH$12,AJ15)</f>
        <v>2</v>
      </c>
      <c r="AL15" s="24">
        <f t="shared" ref="AL15:AL63" si="47">IF(ISNA(INDEX(luCountryStatus,AJ15)),0,INDEX(luCountryStatus,AJ15))</f>
        <v>2</v>
      </c>
      <c r="AM15" s="14">
        <f t="shared" ref="AM15:AM63" si="48">IF(AL15=0,"",IF(COUNTIF(AK$14:AK$63,AK15)&gt;1,CONCATENATE("=",AK15),AK15))</f>
        <v>2</v>
      </c>
      <c r="AN15" s="24" t="str">
        <f t="shared" ref="AN15:AN63" si="49">IF(AL15=0,"",INDEX(luCountry,AJ15))</f>
        <v>Melbourne</v>
      </c>
      <c r="AO15" s="24">
        <f t="shared" ref="AO15:AO63" si="50">IF(AL15=0,"",INDEX(AH$14:AH$63,AJ15))</f>
        <v>92.28</v>
      </c>
      <c r="AP15" s="185" t="str">
        <f t="shared" ref="AP15:AP63" si="51">REPT("|",AO15/2)</f>
        <v>||||||||||||||||||||||||||||||||||||||||||||||</v>
      </c>
      <c r="AR15" s="14">
        <f t="shared" ref="AR15:AR63" si="52">IF(L15=1,INDEX(aRoundedScores,AR$12,$A15),"")</f>
        <v>61.29</v>
      </c>
      <c r="AS15" s="14">
        <f>RANK(AR15,AR$14:AR$63)+COUNTIF(AR$14:AR15,AR15)-1</f>
        <v>39</v>
      </c>
      <c r="AT15" s="24">
        <f t="shared" ref="AT15:AT63" si="53">MATCH($A15,AS$14:AS$63,0)</f>
        <v>29</v>
      </c>
      <c r="AU15" s="24">
        <f t="shared" ref="AU15:AU63" si="54">INDEX(aRankedScores,AR$12,AT15)</f>
        <v>2</v>
      </c>
      <c r="AV15" s="24">
        <f t="shared" ref="AV15:AV63" si="55">IF(ISNA(INDEX(luCountryStatus,AT15)),0,INDEX(luCountryStatus,AT15))</f>
        <v>2</v>
      </c>
      <c r="AW15" s="14">
        <f t="shared" ref="AW15:AW63" si="56">IF(AV15=0,"",IF(COUNTIF(AU$14:AU$63,AU15)&gt;1,CONCATENATE("=",AU15),AU15))</f>
        <v>2</v>
      </c>
      <c r="AX15" s="24" t="str">
        <f t="shared" ref="AX15:AX63" si="57">IF(AV15=0,"",INDEX(luCountry,AT15))</f>
        <v>Osaka</v>
      </c>
      <c r="AY15" s="24">
        <f t="shared" ref="AY15:AY63" si="58">IF(AV15=0,"",INDEX(AR$14:AR$63,AT15))</f>
        <v>90.2</v>
      </c>
      <c r="AZ15" s="185" t="str">
        <f t="shared" ref="AZ15:AZ63" si="59">REPT("|",AY15/2)</f>
        <v>|||||||||||||||||||||||||||||||||||||||||||||</v>
      </c>
    </row>
    <row r="16" spans="1:52">
      <c r="A16" s="24">
        <v>3</v>
      </c>
      <c r="B16" s="24" t="str">
        <f>tblCities!C5</f>
        <v>Buenos Aires</v>
      </c>
      <c r="C16" s="14">
        <f t="shared" si="20"/>
        <v>65.88</v>
      </c>
      <c r="D16" s="14">
        <f>RANK(C16,C$14:C$63)+COUNTIF(C$14:C16,C16)-1</f>
        <v>31</v>
      </c>
      <c r="E16" s="24">
        <f t="shared" si="21"/>
        <v>29</v>
      </c>
      <c r="F16" s="24">
        <f t="shared" si="22"/>
        <v>3</v>
      </c>
      <c r="G16" s="24">
        <f t="shared" si="23"/>
        <v>2</v>
      </c>
      <c r="H16" s="14">
        <f t="shared" si="24"/>
        <v>3</v>
      </c>
      <c r="I16" s="24" t="str">
        <f t="shared" si="25"/>
        <v>Osaka</v>
      </c>
      <c r="J16" s="24">
        <f t="shared" si="26"/>
        <v>82.36</v>
      </c>
      <c r="K16" s="185" t="str">
        <f t="shared" si="27"/>
        <v>|||||||||||||||||||||||||||||||||||||||||</v>
      </c>
      <c r="L16" s="185">
        <f>INDEX(tblCities!$H$3:$L$52,A16,$B$4)</f>
        <v>1</v>
      </c>
      <c r="N16" s="14">
        <f t="shared" si="28"/>
        <v>59.58</v>
      </c>
      <c r="O16" s="14">
        <f>RANK(N16,N$14:N$63)+COUNTIF(N$14:N16,N16)-1</f>
        <v>30</v>
      </c>
      <c r="P16" s="24">
        <f t="shared" si="29"/>
        <v>14</v>
      </c>
      <c r="Q16" s="24">
        <f t="shared" si="30"/>
        <v>3</v>
      </c>
      <c r="R16" s="24">
        <f t="shared" si="31"/>
        <v>2</v>
      </c>
      <c r="S16" s="14">
        <f t="shared" si="32"/>
        <v>3</v>
      </c>
      <c r="T16" s="24" t="str">
        <f t="shared" si="33"/>
        <v>New York</v>
      </c>
      <c r="U16" s="24">
        <f t="shared" si="34"/>
        <v>79.42</v>
      </c>
      <c r="V16" s="185" t="str">
        <f t="shared" si="35"/>
        <v>|||||||||||||||||||||||||||||||||||||||</v>
      </c>
      <c r="X16" s="14">
        <f t="shared" si="36"/>
        <v>64.64</v>
      </c>
      <c r="Y16" s="14">
        <f>RANK(X16,X$14:X$63)+COUNTIF(X$14:X16,X16)-1</f>
        <v>29</v>
      </c>
      <c r="Z16" s="24">
        <f t="shared" si="37"/>
        <v>39</v>
      </c>
      <c r="AA16" s="24">
        <f t="shared" si="38"/>
        <v>3</v>
      </c>
      <c r="AB16" s="24">
        <f t="shared" si="39"/>
        <v>2</v>
      </c>
      <c r="AC16" s="14">
        <f t="shared" si="40"/>
        <v>3</v>
      </c>
      <c r="AD16" s="24" t="str">
        <f t="shared" si="41"/>
        <v>Brussels</v>
      </c>
      <c r="AE16" s="24">
        <f t="shared" si="42"/>
        <v>77.63</v>
      </c>
      <c r="AF16" s="185" t="str">
        <f t="shared" si="43"/>
        <v>||||||||||||||||||||||||||||||||||||||</v>
      </c>
      <c r="AH16" s="14">
        <f t="shared" si="44"/>
        <v>77.03</v>
      </c>
      <c r="AI16" s="14">
        <f>RANK(AH16,AH$14:AH$63)+COUNTIF(AH$14:AH16,AH16)-1</f>
        <v>28</v>
      </c>
      <c r="AJ16" s="24">
        <f t="shared" si="45"/>
        <v>16</v>
      </c>
      <c r="AK16" s="24">
        <f t="shared" si="46"/>
        <v>3</v>
      </c>
      <c r="AL16" s="24">
        <f t="shared" si="47"/>
        <v>2</v>
      </c>
      <c r="AM16" s="14">
        <f t="shared" si="48"/>
        <v>3</v>
      </c>
      <c r="AN16" s="24" t="str">
        <f t="shared" si="49"/>
        <v>Sydney</v>
      </c>
      <c r="AO16" s="24">
        <f t="shared" si="50"/>
        <v>91.4</v>
      </c>
      <c r="AP16" s="185" t="str">
        <f t="shared" si="51"/>
        <v>|||||||||||||||||||||||||||||||||||||||||||||</v>
      </c>
      <c r="AR16" s="14">
        <f t="shared" si="52"/>
        <v>62.25</v>
      </c>
      <c r="AS16" s="14">
        <f>RANK(AR16,AR$14:AR$63)+COUNTIF(AR$14:AR16,AR16)-1</f>
        <v>36</v>
      </c>
      <c r="AT16" s="24">
        <f t="shared" si="53"/>
        <v>28</v>
      </c>
      <c r="AU16" s="24">
        <f t="shared" si="54"/>
        <v>3</v>
      </c>
      <c r="AV16" s="24">
        <f t="shared" si="55"/>
        <v>2</v>
      </c>
      <c r="AW16" s="14">
        <f t="shared" si="56"/>
        <v>3</v>
      </c>
      <c r="AX16" s="24" t="str">
        <f t="shared" si="57"/>
        <v>Tokyo</v>
      </c>
      <c r="AY16" s="24">
        <f t="shared" si="58"/>
        <v>89.31</v>
      </c>
      <c r="AZ16" s="185" t="str">
        <f t="shared" si="59"/>
        <v>||||||||||||||||||||||||||||||||||||||||||||</v>
      </c>
    </row>
    <row r="17" spans="1:52">
      <c r="A17" s="24">
        <v>4</v>
      </c>
      <c r="B17" s="24" t="str">
        <f>tblCities!C6</f>
        <v>Sao Paulo</v>
      </c>
      <c r="C17" s="14">
        <f t="shared" si="20"/>
        <v>62.33</v>
      </c>
      <c r="D17" s="14">
        <f>RANK(C17,C$14:C$63)+COUNTIF(C$14:C17,C17)-1</f>
        <v>40</v>
      </c>
      <c r="E17" s="24">
        <f t="shared" si="21"/>
        <v>1</v>
      </c>
      <c r="F17" s="24">
        <f t="shared" si="22"/>
        <v>4</v>
      </c>
      <c r="G17" s="24">
        <f t="shared" si="23"/>
        <v>2</v>
      </c>
      <c r="H17" s="14">
        <f t="shared" si="24"/>
        <v>4</v>
      </c>
      <c r="I17" s="24" t="str">
        <f t="shared" si="25"/>
        <v>Stockholm</v>
      </c>
      <c r="J17" s="24">
        <f t="shared" si="26"/>
        <v>80.02</v>
      </c>
      <c r="K17" s="185" t="str">
        <f t="shared" si="27"/>
        <v>||||||||||||||||||||||||||||||||||||||||</v>
      </c>
      <c r="L17" s="185">
        <f>INDEX(tblCities!$H$3:$L$52,A17,$B$4)</f>
        <v>1</v>
      </c>
      <c r="N17" s="14">
        <f t="shared" si="28"/>
        <v>54.93</v>
      </c>
      <c r="O17" s="14">
        <f>RANK(N17,N$14:N$63)+COUNTIF(N$14:N17,N17)-1</f>
        <v>39</v>
      </c>
      <c r="P17" s="24">
        <f t="shared" si="29"/>
        <v>18</v>
      </c>
      <c r="Q17" s="24">
        <f t="shared" si="30"/>
        <v>4</v>
      </c>
      <c r="R17" s="24">
        <f t="shared" si="31"/>
        <v>2</v>
      </c>
      <c r="S17" s="14">
        <f t="shared" si="32"/>
        <v>4</v>
      </c>
      <c r="T17" s="24" t="str">
        <f t="shared" si="33"/>
        <v>Hong Kong</v>
      </c>
      <c r="U17" s="24">
        <f t="shared" si="34"/>
        <v>78.78</v>
      </c>
      <c r="V17" s="185" t="str">
        <f t="shared" si="35"/>
        <v>|||||||||||||||||||||||||||||||||||||||</v>
      </c>
      <c r="X17" s="14">
        <f t="shared" si="36"/>
        <v>60.37</v>
      </c>
      <c r="Y17" s="14">
        <f>RANK(X17,X$14:X$63)+COUNTIF(X$14:X17,X17)-1</f>
        <v>36</v>
      </c>
      <c r="Z17" s="24">
        <f t="shared" si="37"/>
        <v>41</v>
      </c>
      <c r="AA17" s="24">
        <f t="shared" si="38"/>
        <v>4</v>
      </c>
      <c r="AB17" s="24">
        <f t="shared" si="39"/>
        <v>2</v>
      </c>
      <c r="AC17" s="14">
        <f t="shared" si="40"/>
        <v>4</v>
      </c>
      <c r="AD17" s="24" t="str">
        <f t="shared" si="41"/>
        <v>Frankfurt</v>
      </c>
      <c r="AE17" s="24">
        <f t="shared" si="42"/>
        <v>77.38</v>
      </c>
      <c r="AF17" s="185" t="str">
        <f t="shared" si="43"/>
        <v>||||||||||||||||||||||||||||||||||||||</v>
      </c>
      <c r="AH17" s="14">
        <f t="shared" si="44"/>
        <v>76.41</v>
      </c>
      <c r="AI17" s="14">
        <f>RANK(AH17,AH$14:AH$63)+COUNTIF(AH$14:AH17,AH17)-1</f>
        <v>35</v>
      </c>
      <c r="AJ17" s="24">
        <f t="shared" si="45"/>
        <v>44</v>
      </c>
      <c r="AK17" s="24">
        <f t="shared" si="46"/>
        <v>4</v>
      </c>
      <c r="AL17" s="24">
        <f t="shared" si="47"/>
        <v>2</v>
      </c>
      <c r="AM17" s="14">
        <f t="shared" si="48"/>
        <v>4</v>
      </c>
      <c r="AN17" s="24" t="str">
        <f t="shared" si="49"/>
        <v>Amsterdam</v>
      </c>
      <c r="AO17" s="24">
        <f t="shared" si="50"/>
        <v>91.27</v>
      </c>
      <c r="AP17" s="185" t="str">
        <f t="shared" si="51"/>
        <v>|||||||||||||||||||||||||||||||||||||||||||||</v>
      </c>
      <c r="AR17" s="14">
        <f t="shared" si="52"/>
        <v>57.59</v>
      </c>
      <c r="AS17" s="14">
        <f>RANK(AR17,AR$14:AR$63)+COUNTIF(AR$14:AR17,AR17)-1</f>
        <v>46</v>
      </c>
      <c r="AT17" s="24">
        <f t="shared" si="53"/>
        <v>1</v>
      </c>
      <c r="AU17" s="24">
        <f t="shared" si="54"/>
        <v>4</v>
      </c>
      <c r="AV17" s="24">
        <f t="shared" si="55"/>
        <v>2</v>
      </c>
      <c r="AW17" s="14">
        <f t="shared" si="56"/>
        <v>4</v>
      </c>
      <c r="AX17" s="24" t="str">
        <f t="shared" si="57"/>
        <v>Stockholm</v>
      </c>
      <c r="AY17" s="24">
        <f t="shared" si="58"/>
        <v>87.51</v>
      </c>
      <c r="AZ17" s="185" t="str">
        <f t="shared" si="59"/>
        <v>|||||||||||||||||||||||||||||||||||||||||||</v>
      </c>
    </row>
    <row r="18" spans="1:52">
      <c r="A18" s="24">
        <v>5</v>
      </c>
      <c r="B18" s="24" t="str">
        <f>tblCities!C7</f>
        <v>Rio de Janeiro</v>
      </c>
      <c r="C18" s="14">
        <f t="shared" si="20"/>
        <v>63.52</v>
      </c>
      <c r="D18" s="14">
        <f>RANK(C18,C$14:C$63)+COUNTIF(C$14:C18,C18)-1</f>
        <v>35</v>
      </c>
      <c r="E18" s="24">
        <f t="shared" si="21"/>
        <v>44</v>
      </c>
      <c r="F18" s="24">
        <f t="shared" si="22"/>
        <v>5</v>
      </c>
      <c r="G18" s="24">
        <f t="shared" si="23"/>
        <v>2</v>
      </c>
      <c r="H18" s="14">
        <f t="shared" si="24"/>
        <v>5</v>
      </c>
      <c r="I18" s="24" t="str">
        <f t="shared" si="25"/>
        <v>Amsterdam</v>
      </c>
      <c r="J18" s="24">
        <f t="shared" si="26"/>
        <v>79.19</v>
      </c>
      <c r="K18" s="185" t="str">
        <f t="shared" si="27"/>
        <v>|||||||||||||||||||||||||||||||||||||||</v>
      </c>
      <c r="L18" s="185">
        <f>INDEX(tblCities!$H$3:$L$52,A18,$B$4)</f>
        <v>1</v>
      </c>
      <c r="N18" s="14">
        <f t="shared" si="28"/>
        <v>54.74</v>
      </c>
      <c r="O18" s="14">
        <f>RANK(N18,N$14:N$63)+COUNTIF(N$14:N18,N18)-1</f>
        <v>40</v>
      </c>
      <c r="P18" s="24">
        <f t="shared" si="29"/>
        <v>29</v>
      </c>
      <c r="Q18" s="24">
        <f t="shared" si="30"/>
        <v>5</v>
      </c>
      <c r="R18" s="24">
        <f t="shared" si="31"/>
        <v>2</v>
      </c>
      <c r="S18" s="14">
        <f t="shared" si="32"/>
        <v>5</v>
      </c>
      <c r="T18" s="24" t="str">
        <f t="shared" si="33"/>
        <v>Osaka</v>
      </c>
      <c r="U18" s="24">
        <f t="shared" si="34"/>
        <v>77</v>
      </c>
      <c r="V18" s="185" t="str">
        <f t="shared" si="35"/>
        <v>||||||||||||||||||||||||||||||||||||||</v>
      </c>
      <c r="X18" s="14">
        <f t="shared" si="36"/>
        <v>57.48</v>
      </c>
      <c r="Y18" s="14">
        <f>RANK(X18,X$14:X$63)+COUNTIF(X$14:X18,X18)-1</f>
        <v>38</v>
      </c>
      <c r="Z18" s="24">
        <f t="shared" si="37"/>
        <v>40</v>
      </c>
      <c r="AA18" s="24">
        <f t="shared" si="38"/>
        <v>5</v>
      </c>
      <c r="AB18" s="24">
        <f t="shared" si="39"/>
        <v>2</v>
      </c>
      <c r="AC18" s="14">
        <f t="shared" si="40"/>
        <v>5</v>
      </c>
      <c r="AD18" s="24" t="str">
        <f t="shared" si="41"/>
        <v>Paris</v>
      </c>
      <c r="AE18" s="24">
        <f t="shared" si="42"/>
        <v>76.95</v>
      </c>
      <c r="AF18" s="185" t="str">
        <f t="shared" si="43"/>
        <v>||||||||||||||||||||||||||||||||||||||</v>
      </c>
      <c r="AH18" s="14">
        <f t="shared" si="44"/>
        <v>74.4</v>
      </c>
      <c r="AI18" s="14">
        <f>RANK(AH18,AH$14:AH$63)+COUNTIF(AH$14:AH18,AH18)-1</f>
        <v>38</v>
      </c>
      <c r="AJ18" s="24">
        <f t="shared" si="45"/>
        <v>28</v>
      </c>
      <c r="AK18" s="24">
        <f t="shared" si="46"/>
        <v>5</v>
      </c>
      <c r="AL18" s="24">
        <f t="shared" si="47"/>
        <v>2</v>
      </c>
      <c r="AM18" s="14">
        <f t="shared" si="48"/>
        <v>5</v>
      </c>
      <c r="AN18" s="24" t="str">
        <f t="shared" si="49"/>
        <v>Tokyo</v>
      </c>
      <c r="AO18" s="24">
        <f t="shared" si="50"/>
        <v>89.79</v>
      </c>
      <c r="AP18" s="185" t="str">
        <f t="shared" si="51"/>
        <v>||||||||||||||||||||||||||||||||||||||||||||</v>
      </c>
      <c r="AR18" s="14">
        <f t="shared" si="52"/>
        <v>67.45</v>
      </c>
      <c r="AS18" s="14">
        <f>RANK(AR18,AR$14:AR$63)+COUNTIF(AR$14:AR18,AR18)-1</f>
        <v>31</v>
      </c>
      <c r="AT18" s="24">
        <f t="shared" si="53"/>
        <v>32</v>
      </c>
      <c r="AU18" s="24">
        <f t="shared" si="54"/>
        <v>5</v>
      </c>
      <c r="AV18" s="24">
        <f t="shared" si="55"/>
        <v>2</v>
      </c>
      <c r="AW18" s="14">
        <f t="shared" si="56"/>
        <v>5</v>
      </c>
      <c r="AX18" s="24" t="str">
        <f t="shared" si="57"/>
        <v>Taipei</v>
      </c>
      <c r="AY18" s="24">
        <f t="shared" si="58"/>
        <v>85.67</v>
      </c>
      <c r="AZ18" s="185" t="str">
        <f t="shared" si="59"/>
        <v>||||||||||||||||||||||||||||||||||||||||||</v>
      </c>
    </row>
    <row r="19" spans="1:52">
      <c r="A19" s="24">
        <v>6</v>
      </c>
      <c r="B19" s="24" t="str">
        <f>tblCities!C8</f>
        <v>Los Angeles</v>
      </c>
      <c r="C19" s="14">
        <f t="shared" si="20"/>
        <v>74.24</v>
      </c>
      <c r="D19" s="14">
        <f>RANK(C19,C$14:C$63)+COUNTIF(C$14:C19,C19)-1</f>
        <v>17</v>
      </c>
      <c r="E19" s="24">
        <f t="shared" si="21"/>
        <v>16</v>
      </c>
      <c r="F19" s="24">
        <f t="shared" si="22"/>
        <v>6</v>
      </c>
      <c r="G19" s="24">
        <f t="shared" si="23"/>
        <v>2</v>
      </c>
      <c r="H19" s="14">
        <f t="shared" si="24"/>
        <v>6</v>
      </c>
      <c r="I19" s="24" t="str">
        <f t="shared" si="25"/>
        <v>Sydney</v>
      </c>
      <c r="J19" s="24">
        <f t="shared" si="26"/>
        <v>78.91</v>
      </c>
      <c r="K19" s="185" t="str">
        <f t="shared" si="27"/>
        <v>|||||||||||||||||||||||||||||||||||||||</v>
      </c>
      <c r="L19" s="185">
        <f>INDEX(tblCities!$H$3:$L$52,A19,$B$4)</f>
        <v>1</v>
      </c>
      <c r="N19" s="14">
        <f t="shared" si="28"/>
        <v>74.99</v>
      </c>
      <c r="O19" s="14">
        <f>RANK(N19,N$14:N$63)+COUNTIF(N$14:N19,N19)-1</f>
        <v>6</v>
      </c>
      <c r="P19" s="24">
        <f t="shared" si="29"/>
        <v>6</v>
      </c>
      <c r="Q19" s="24">
        <f t="shared" si="30"/>
        <v>6</v>
      </c>
      <c r="R19" s="24">
        <f t="shared" si="31"/>
        <v>2</v>
      </c>
      <c r="S19" s="14">
        <f t="shared" si="32"/>
        <v>6</v>
      </c>
      <c r="T19" s="24" t="str">
        <f t="shared" si="33"/>
        <v>Los Angeles</v>
      </c>
      <c r="U19" s="24">
        <f t="shared" si="34"/>
        <v>74.99</v>
      </c>
      <c r="V19" s="185" t="str">
        <f t="shared" si="35"/>
        <v>|||||||||||||||||||||||||||||||||||||</v>
      </c>
      <c r="X19" s="14">
        <f t="shared" si="36"/>
        <v>66.57</v>
      </c>
      <c r="Y19" s="14">
        <f>RANK(X19,X$14:X$63)+COUNTIF(X$14:X19,X19)-1</f>
        <v>26</v>
      </c>
      <c r="Z19" s="24">
        <f t="shared" si="37"/>
        <v>29</v>
      </c>
      <c r="AA19" s="24">
        <f t="shared" si="38"/>
        <v>6</v>
      </c>
      <c r="AB19" s="24">
        <f t="shared" si="39"/>
        <v>2</v>
      </c>
      <c r="AC19" s="14">
        <f t="shared" si="40"/>
        <v>6</v>
      </c>
      <c r="AD19" s="24" t="str">
        <f t="shared" si="41"/>
        <v>Osaka</v>
      </c>
      <c r="AE19" s="24">
        <f t="shared" si="42"/>
        <v>76.55</v>
      </c>
      <c r="AF19" s="185" t="str">
        <f t="shared" si="43"/>
        <v>||||||||||||||||||||||||||||||||||||||</v>
      </c>
      <c r="AH19" s="14">
        <f t="shared" si="44"/>
        <v>83.72</v>
      </c>
      <c r="AI19" s="14">
        <f>RANK(AH19,AH$14:AH$63)+COUNTIF(AH$14:AH19,AH19)-1</f>
        <v>19</v>
      </c>
      <c r="AJ19" s="24">
        <f t="shared" si="45"/>
        <v>9</v>
      </c>
      <c r="AK19" s="24">
        <f t="shared" si="46"/>
        <v>6</v>
      </c>
      <c r="AL19" s="24">
        <f t="shared" si="47"/>
        <v>2</v>
      </c>
      <c r="AM19" s="14">
        <f t="shared" si="48"/>
        <v>6</v>
      </c>
      <c r="AN19" s="24" t="str">
        <f t="shared" si="49"/>
        <v>Montreal</v>
      </c>
      <c r="AO19" s="24">
        <f t="shared" si="50"/>
        <v>89.47</v>
      </c>
      <c r="AP19" s="185" t="str">
        <f t="shared" si="51"/>
        <v>||||||||||||||||||||||||||||||||||||||||||||</v>
      </c>
      <c r="AR19" s="14">
        <f t="shared" si="52"/>
        <v>71.66</v>
      </c>
      <c r="AS19" s="14">
        <f>RANK(AR19,AR$14:AR$63)+COUNTIF(AR$14:AR19,AR19)-1</f>
        <v>23</v>
      </c>
      <c r="AT19" s="24">
        <f t="shared" si="53"/>
        <v>18</v>
      </c>
      <c r="AU19" s="24">
        <f t="shared" si="54"/>
        <v>6</v>
      </c>
      <c r="AV19" s="24">
        <f t="shared" si="55"/>
        <v>2</v>
      </c>
      <c r="AW19" s="14">
        <f t="shared" si="56"/>
        <v>6</v>
      </c>
      <c r="AX19" s="24" t="str">
        <f t="shared" si="57"/>
        <v>Hong Kong</v>
      </c>
      <c r="AY19" s="24">
        <f t="shared" si="58"/>
        <v>85.09</v>
      </c>
      <c r="AZ19" s="185" t="str">
        <f t="shared" si="59"/>
        <v>||||||||||||||||||||||||||||||||||||||||||</v>
      </c>
    </row>
    <row r="20" spans="1:52">
      <c r="A20" s="24">
        <v>7</v>
      </c>
      <c r="B20" s="24" t="str">
        <f>tblCities!C9</f>
        <v>San Francisco</v>
      </c>
      <c r="C20" s="14">
        <f t="shared" si="20"/>
        <v>76.63</v>
      </c>
      <c r="D20" s="14">
        <f>RANK(C20,C$14:C$63)+COUNTIF(C$14:C20,C20)-1</f>
        <v>12</v>
      </c>
      <c r="E20" s="24">
        <f t="shared" si="21"/>
        <v>48</v>
      </c>
      <c r="F20" s="24">
        <f t="shared" si="22"/>
        <v>7</v>
      </c>
      <c r="G20" s="24">
        <f t="shared" si="23"/>
        <v>2</v>
      </c>
      <c r="H20" s="14">
        <f t="shared" si="24"/>
        <v>7</v>
      </c>
      <c r="I20" s="24" t="str">
        <f t="shared" si="25"/>
        <v>Zurich</v>
      </c>
      <c r="J20" s="24">
        <f t="shared" si="26"/>
        <v>78.84</v>
      </c>
      <c r="K20" s="185" t="str">
        <f t="shared" si="27"/>
        <v>|||||||||||||||||||||||||||||||||||||||</v>
      </c>
      <c r="L20" s="185">
        <f>INDEX(tblCities!$H$3:$L$52,A20,$B$4)</f>
        <v>1</v>
      </c>
      <c r="N20" s="14">
        <f t="shared" si="28"/>
        <v>73.85</v>
      </c>
      <c r="O20" s="14">
        <f>RANK(N20,N$14:N$63)+COUNTIF(N$14:N20,N20)-1</f>
        <v>8</v>
      </c>
      <c r="P20" s="24">
        <f t="shared" si="29"/>
        <v>1</v>
      </c>
      <c r="Q20" s="24">
        <f t="shared" si="30"/>
        <v>7</v>
      </c>
      <c r="R20" s="24">
        <f t="shared" si="31"/>
        <v>2</v>
      </c>
      <c r="S20" s="14">
        <f t="shared" si="32"/>
        <v>7</v>
      </c>
      <c r="T20" s="24" t="str">
        <f t="shared" si="33"/>
        <v>Stockholm</v>
      </c>
      <c r="U20" s="24">
        <f t="shared" si="34"/>
        <v>74.82</v>
      </c>
      <c r="V20" s="185" t="str">
        <f t="shared" si="35"/>
        <v>|||||||||||||||||||||||||||||||||||||</v>
      </c>
      <c r="X20" s="14">
        <f t="shared" si="36"/>
        <v>73.53</v>
      </c>
      <c r="Y20" s="14">
        <f>RANK(X20,X$14:X$63)+COUNTIF(X$14:X20,X20)-1</f>
        <v>16</v>
      </c>
      <c r="Z20" s="24">
        <f t="shared" si="37"/>
        <v>47</v>
      </c>
      <c r="AA20" s="24">
        <f t="shared" si="38"/>
        <v>7</v>
      </c>
      <c r="AB20" s="24">
        <f t="shared" si="39"/>
        <v>2</v>
      </c>
      <c r="AC20" s="14">
        <f t="shared" si="40"/>
        <v>7</v>
      </c>
      <c r="AD20" s="24" t="str">
        <f t="shared" si="41"/>
        <v>Barcelona</v>
      </c>
      <c r="AE20" s="24">
        <f t="shared" si="42"/>
        <v>76.35</v>
      </c>
      <c r="AF20" s="185" t="str">
        <f t="shared" si="43"/>
        <v>||||||||||||||||||||||||||||||||||||||</v>
      </c>
      <c r="AH20" s="14">
        <f t="shared" si="44"/>
        <v>86.16</v>
      </c>
      <c r="AI20" s="14">
        <f>RANK(AH20,AH$14:AH$63)+COUNTIF(AH$14:AH20,AH20)-1</f>
        <v>10</v>
      </c>
      <c r="AJ20" s="24">
        <f t="shared" si="45"/>
        <v>30</v>
      </c>
      <c r="AK20" s="24">
        <f t="shared" si="46"/>
        <v>7</v>
      </c>
      <c r="AL20" s="24">
        <f t="shared" si="47"/>
        <v>2</v>
      </c>
      <c r="AM20" s="14">
        <f t="shared" si="48"/>
        <v>7</v>
      </c>
      <c r="AN20" s="24" t="str">
        <f t="shared" si="49"/>
        <v>Singapore</v>
      </c>
      <c r="AO20" s="24">
        <f t="shared" si="50"/>
        <v>88.86</v>
      </c>
      <c r="AP20" s="185" t="str">
        <f t="shared" si="51"/>
        <v>||||||||||||||||||||||||||||||||||||||||||||</v>
      </c>
      <c r="AR20" s="14">
        <f t="shared" si="52"/>
        <v>72.96</v>
      </c>
      <c r="AS20" s="14">
        <f>RANK(AR20,AR$14:AR$63)+COUNTIF(AR$14:AR20,AR20)-1</f>
        <v>21</v>
      </c>
      <c r="AT20" s="24">
        <f t="shared" si="53"/>
        <v>8</v>
      </c>
      <c r="AU20" s="24">
        <f t="shared" si="54"/>
        <v>7</v>
      </c>
      <c r="AV20" s="24">
        <f t="shared" si="55"/>
        <v>2</v>
      </c>
      <c r="AW20" s="14">
        <f t="shared" si="56"/>
        <v>7</v>
      </c>
      <c r="AX20" s="24" t="str">
        <f t="shared" si="57"/>
        <v>Toronto</v>
      </c>
      <c r="AY20" s="24">
        <f t="shared" si="58"/>
        <v>84.82</v>
      </c>
      <c r="AZ20" s="185" t="str">
        <f t="shared" si="59"/>
        <v>||||||||||||||||||||||||||||||||||||||||||</v>
      </c>
    </row>
    <row r="21" spans="1:52">
      <c r="A21" s="24">
        <v>8</v>
      </c>
      <c r="B21" s="24" t="str">
        <f>tblCities!C10</f>
        <v>Toronto</v>
      </c>
      <c r="C21" s="14">
        <f t="shared" si="20"/>
        <v>78.81</v>
      </c>
      <c r="D21" s="14">
        <f>RANK(C21,C$14:C$63)+COUNTIF(C$14:C21,C21)-1</f>
        <v>8</v>
      </c>
      <c r="E21" s="24">
        <f t="shared" si="21"/>
        <v>8</v>
      </c>
      <c r="F21" s="24">
        <f t="shared" si="22"/>
        <v>8</v>
      </c>
      <c r="G21" s="24">
        <f t="shared" si="23"/>
        <v>2</v>
      </c>
      <c r="H21" s="14">
        <f t="shared" si="24"/>
        <v>8</v>
      </c>
      <c r="I21" s="24" t="str">
        <f t="shared" si="25"/>
        <v>Toronto</v>
      </c>
      <c r="J21" s="24">
        <f t="shared" si="26"/>
        <v>78.81</v>
      </c>
      <c r="K21" s="185" t="str">
        <f t="shared" si="27"/>
        <v>|||||||||||||||||||||||||||||||||||||||</v>
      </c>
      <c r="L21" s="185">
        <f>INDEX(tblCities!$H$3:$L$52,A21,$B$4)</f>
        <v>1</v>
      </c>
      <c r="N21" s="14">
        <f t="shared" si="28"/>
        <v>72.04</v>
      </c>
      <c r="O21" s="14">
        <f>RANK(N21,N$14:N$63)+COUNTIF(N$14:N21,N21)-1</f>
        <v>11</v>
      </c>
      <c r="P21" s="24">
        <f t="shared" si="29"/>
        <v>7</v>
      </c>
      <c r="Q21" s="24">
        <f t="shared" si="30"/>
        <v>8</v>
      </c>
      <c r="R21" s="24">
        <f t="shared" si="31"/>
        <v>2</v>
      </c>
      <c r="S21" s="14">
        <f t="shared" si="32"/>
        <v>8</v>
      </c>
      <c r="T21" s="24" t="str">
        <f t="shared" si="33"/>
        <v>San Francisco</v>
      </c>
      <c r="U21" s="24">
        <f t="shared" si="34"/>
        <v>73.85</v>
      </c>
      <c r="V21" s="185" t="str">
        <f t="shared" si="35"/>
        <v>||||||||||||||||||||||||||||||||||||</v>
      </c>
      <c r="X21" s="14">
        <f t="shared" si="36"/>
        <v>70.8</v>
      </c>
      <c r="Y21" s="14">
        <f>RANK(X21,X$14:X$63)+COUNTIF(X$14:X21,X21)-1</f>
        <v>21</v>
      </c>
      <c r="Z21" s="24">
        <f t="shared" si="37"/>
        <v>28</v>
      </c>
      <c r="AA21" s="24">
        <f t="shared" si="38"/>
        <v>8</v>
      </c>
      <c r="AB21" s="24">
        <f t="shared" si="39"/>
        <v>2</v>
      </c>
      <c r="AC21" s="14">
        <f t="shared" si="40"/>
        <v>8</v>
      </c>
      <c r="AD21" s="24" t="str">
        <f t="shared" si="41"/>
        <v>Tokyo</v>
      </c>
      <c r="AE21" s="24">
        <f t="shared" si="42"/>
        <v>76.26</v>
      </c>
      <c r="AF21" s="185" t="str">
        <f t="shared" si="43"/>
        <v>||||||||||||||||||||||||||||||||||||||</v>
      </c>
      <c r="AH21" s="14">
        <f t="shared" si="44"/>
        <v>87.57</v>
      </c>
      <c r="AI21" s="14">
        <f>RANK(AH21,AH$14:AH$63)+COUNTIF(AH$14:AH21,AH21)-1</f>
        <v>8</v>
      </c>
      <c r="AJ21" s="24">
        <f t="shared" si="45"/>
        <v>8</v>
      </c>
      <c r="AK21" s="24">
        <f t="shared" si="46"/>
        <v>8</v>
      </c>
      <c r="AL21" s="24">
        <f t="shared" si="47"/>
        <v>2</v>
      </c>
      <c r="AM21" s="14">
        <f t="shared" si="48"/>
        <v>8</v>
      </c>
      <c r="AN21" s="24" t="str">
        <f t="shared" si="49"/>
        <v>Toronto</v>
      </c>
      <c r="AO21" s="24">
        <f t="shared" si="50"/>
        <v>87.57</v>
      </c>
      <c r="AP21" s="185" t="str">
        <f t="shared" si="51"/>
        <v>|||||||||||||||||||||||||||||||||||||||||||</v>
      </c>
      <c r="AR21" s="14">
        <f t="shared" si="52"/>
        <v>84.82</v>
      </c>
      <c r="AS21" s="14">
        <f>RANK(AR21,AR$14:AR$63)+COUNTIF(AR$14:AR21,AR21)-1</f>
        <v>7</v>
      </c>
      <c r="AT21" s="24">
        <f t="shared" si="53"/>
        <v>17</v>
      </c>
      <c r="AU21" s="24">
        <f t="shared" si="54"/>
        <v>8</v>
      </c>
      <c r="AV21" s="24">
        <f t="shared" si="55"/>
        <v>2</v>
      </c>
      <c r="AW21" s="14">
        <f t="shared" si="56"/>
        <v>8</v>
      </c>
      <c r="AX21" s="24" t="str">
        <f t="shared" si="57"/>
        <v>Melbourne</v>
      </c>
      <c r="AY21" s="24">
        <f t="shared" si="58"/>
        <v>82.72</v>
      </c>
      <c r="AZ21" s="185" t="str">
        <f t="shared" si="59"/>
        <v>|||||||||||||||||||||||||||||||||||||||||</v>
      </c>
    </row>
    <row r="22" spans="1:52">
      <c r="A22" s="24">
        <v>9</v>
      </c>
      <c r="B22" s="24" t="str">
        <f>tblCities!C11</f>
        <v>Montreal</v>
      </c>
      <c r="C22" s="14">
        <f t="shared" si="20"/>
        <v>75.6</v>
      </c>
      <c r="D22" s="14">
        <f>RANK(C22,C$14:C$63)+COUNTIF(C$14:C22,C22)-1</f>
        <v>14</v>
      </c>
      <c r="E22" s="24">
        <f t="shared" si="21"/>
        <v>17</v>
      </c>
      <c r="F22" s="24">
        <f t="shared" si="22"/>
        <v>9</v>
      </c>
      <c r="G22" s="24">
        <f t="shared" si="23"/>
        <v>2</v>
      </c>
      <c r="H22" s="14">
        <f t="shared" si="24"/>
        <v>9</v>
      </c>
      <c r="I22" s="24" t="str">
        <f t="shared" si="25"/>
        <v>Melbourne</v>
      </c>
      <c r="J22" s="24">
        <f t="shared" si="26"/>
        <v>78.67</v>
      </c>
      <c r="K22" s="185" t="str">
        <f t="shared" si="27"/>
        <v>|||||||||||||||||||||||||||||||||||||||</v>
      </c>
      <c r="L22" s="185">
        <f>INDEX(tblCities!$H$3:$L$52,A22,$B$4)</f>
        <v>1</v>
      </c>
      <c r="N22" s="14">
        <f t="shared" si="28"/>
        <v>72.04</v>
      </c>
      <c r="O22" s="14">
        <f>RANK(N22,N$14:N$63)+COUNTIF(N$14:N22,N22)-1</f>
        <v>12</v>
      </c>
      <c r="P22" s="24">
        <f t="shared" si="29"/>
        <v>38</v>
      </c>
      <c r="Q22" s="24">
        <f t="shared" si="30"/>
        <v>9</v>
      </c>
      <c r="R22" s="24">
        <f t="shared" si="31"/>
        <v>3</v>
      </c>
      <c r="S22" s="14">
        <f t="shared" si="32"/>
        <v>9</v>
      </c>
      <c r="T22" s="24" t="str">
        <f t="shared" si="33"/>
        <v>Abu Dhabi</v>
      </c>
      <c r="U22" s="24">
        <f t="shared" si="34"/>
        <v>73.71</v>
      </c>
      <c r="V22" s="185" t="str">
        <f t="shared" si="35"/>
        <v>||||||||||||||||||||||||||||||||||||</v>
      </c>
      <c r="X22" s="14">
        <f t="shared" si="36"/>
        <v>72.4</v>
      </c>
      <c r="Y22" s="14">
        <f>RANK(X22,X$14:X$63)+COUNTIF(X$14:X22,X22)-1</f>
        <v>20</v>
      </c>
      <c r="Z22" s="24">
        <f t="shared" si="37"/>
        <v>32</v>
      </c>
      <c r="AA22" s="24">
        <f t="shared" si="38"/>
        <v>9</v>
      </c>
      <c r="AB22" s="24">
        <f t="shared" si="39"/>
        <v>2</v>
      </c>
      <c r="AC22" s="14">
        <f t="shared" si="40"/>
        <v>9</v>
      </c>
      <c r="AD22" s="24" t="str">
        <f t="shared" si="41"/>
        <v>Taipei</v>
      </c>
      <c r="AE22" s="24">
        <f t="shared" si="42"/>
        <v>76</v>
      </c>
      <c r="AF22" s="185" t="str">
        <f t="shared" si="43"/>
        <v>||||||||||||||||||||||||||||||||||||||</v>
      </c>
      <c r="AH22" s="14">
        <f t="shared" si="44"/>
        <v>89.47</v>
      </c>
      <c r="AI22" s="14">
        <f>RANK(AH22,AH$14:AH$63)+COUNTIF(AH$14:AH22,AH22)-1</f>
        <v>6</v>
      </c>
      <c r="AJ22" s="24">
        <f t="shared" si="45"/>
        <v>46</v>
      </c>
      <c r="AK22" s="24">
        <f t="shared" si="46"/>
        <v>9</v>
      </c>
      <c r="AL22" s="24">
        <f t="shared" si="47"/>
        <v>2</v>
      </c>
      <c r="AM22" s="14">
        <f t="shared" si="48"/>
        <v>9</v>
      </c>
      <c r="AN22" s="24" t="str">
        <f t="shared" si="49"/>
        <v>Madrid</v>
      </c>
      <c r="AO22" s="24">
        <f t="shared" si="50"/>
        <v>87.28</v>
      </c>
      <c r="AP22" s="185" t="str">
        <f t="shared" si="51"/>
        <v>|||||||||||||||||||||||||||||||||||||||||||</v>
      </c>
      <c r="AR22" s="14">
        <f t="shared" si="52"/>
        <v>68.48</v>
      </c>
      <c r="AS22" s="14">
        <f>RANK(AR22,AR$14:AR$63)+COUNTIF(AR$14:AR22,AR22)-1</f>
        <v>29</v>
      </c>
      <c r="AT22" s="24">
        <f t="shared" si="53"/>
        <v>44</v>
      </c>
      <c r="AU22" s="24">
        <f t="shared" si="54"/>
        <v>9</v>
      </c>
      <c r="AV22" s="24">
        <f t="shared" si="55"/>
        <v>2</v>
      </c>
      <c r="AW22" s="14">
        <f t="shared" si="56"/>
        <v>9</v>
      </c>
      <c r="AX22" s="24" t="str">
        <f t="shared" si="57"/>
        <v>Amsterdam</v>
      </c>
      <c r="AY22" s="24">
        <f t="shared" si="58"/>
        <v>82.39</v>
      </c>
      <c r="AZ22" s="185" t="str">
        <f t="shared" si="59"/>
        <v>|||||||||||||||||||||||||||||||||||||||||</v>
      </c>
    </row>
    <row r="23" spans="1:52">
      <c r="A23" s="24">
        <v>10</v>
      </c>
      <c r="B23" s="24" t="str">
        <f>tblCities!C12</f>
        <v>Chicago</v>
      </c>
      <c r="C23" s="14">
        <f t="shared" si="20"/>
        <v>74.89</v>
      </c>
      <c r="D23" s="14">
        <f>RANK(C23,C$14:C$63)+COUNTIF(C$14:C23,C23)-1</f>
        <v>16</v>
      </c>
      <c r="E23" s="24">
        <f t="shared" si="21"/>
        <v>14</v>
      </c>
      <c r="F23" s="24">
        <f t="shared" si="22"/>
        <v>10</v>
      </c>
      <c r="G23" s="24">
        <f t="shared" si="23"/>
        <v>2</v>
      </c>
      <c r="H23" s="14">
        <f t="shared" si="24"/>
        <v>10</v>
      </c>
      <c r="I23" s="24" t="str">
        <f t="shared" si="25"/>
        <v>New York</v>
      </c>
      <c r="J23" s="24">
        <f t="shared" si="26"/>
        <v>78.08</v>
      </c>
      <c r="K23" s="185" t="str">
        <f t="shared" si="27"/>
        <v>|||||||||||||||||||||||||||||||||||||||</v>
      </c>
      <c r="L23" s="185">
        <f>INDEX(tblCities!$H$3:$L$52,A23,$B$4)</f>
        <v>1</v>
      </c>
      <c r="N23" s="14">
        <f t="shared" si="28"/>
        <v>72.9</v>
      </c>
      <c r="O23" s="14">
        <f>RANK(N23,N$14:N$63)+COUNTIF(N$14:N23,N23)-1</f>
        <v>10</v>
      </c>
      <c r="P23" s="24">
        <f t="shared" si="29"/>
        <v>10</v>
      </c>
      <c r="Q23" s="24">
        <f t="shared" si="30"/>
        <v>10</v>
      </c>
      <c r="R23" s="24">
        <f t="shared" si="31"/>
        <v>2</v>
      </c>
      <c r="S23" s="14">
        <f t="shared" si="32"/>
        <v>10</v>
      </c>
      <c r="T23" s="24" t="str">
        <f t="shared" si="33"/>
        <v>Chicago</v>
      </c>
      <c r="U23" s="24">
        <f t="shared" si="34"/>
        <v>72.9</v>
      </c>
      <c r="V23" s="185" t="str">
        <f t="shared" si="35"/>
        <v>||||||||||||||||||||||||||||||||||||</v>
      </c>
      <c r="X23" s="14">
        <f t="shared" si="36"/>
        <v>69.71</v>
      </c>
      <c r="Y23" s="14">
        <f>RANK(X23,X$14:X$63)+COUNTIF(X$14:X23,X23)-1</f>
        <v>23</v>
      </c>
      <c r="Z23" s="24">
        <f t="shared" si="37"/>
        <v>1</v>
      </c>
      <c r="AA23" s="24">
        <f t="shared" si="38"/>
        <v>10</v>
      </c>
      <c r="AB23" s="24">
        <f t="shared" si="39"/>
        <v>2</v>
      </c>
      <c r="AC23" s="14">
        <f t="shared" si="40"/>
        <v>10</v>
      </c>
      <c r="AD23" s="24" t="str">
        <f t="shared" si="41"/>
        <v>Stockholm</v>
      </c>
      <c r="AE23" s="24">
        <f t="shared" si="42"/>
        <v>75.83</v>
      </c>
      <c r="AF23" s="185" t="str">
        <f t="shared" si="43"/>
        <v>|||||||||||||||||||||||||||||||||||||</v>
      </c>
      <c r="AH23" s="14">
        <f t="shared" si="44"/>
        <v>85.69</v>
      </c>
      <c r="AI23" s="14">
        <f>RANK(AH23,AH$14:AH$63)+COUNTIF(AH$14:AH23,AH23)-1</f>
        <v>13</v>
      </c>
      <c r="AJ23" s="24">
        <f t="shared" si="45"/>
        <v>7</v>
      </c>
      <c r="AK23" s="24">
        <f t="shared" si="46"/>
        <v>10</v>
      </c>
      <c r="AL23" s="24">
        <f t="shared" si="47"/>
        <v>2</v>
      </c>
      <c r="AM23" s="14" t="str">
        <f t="shared" si="48"/>
        <v>=10</v>
      </c>
      <c r="AN23" s="24" t="str">
        <f t="shared" si="49"/>
        <v>San Francisco</v>
      </c>
      <c r="AO23" s="24">
        <f t="shared" si="50"/>
        <v>86.16</v>
      </c>
      <c r="AP23" s="185" t="str">
        <f t="shared" si="51"/>
        <v>|||||||||||||||||||||||||||||||||||||||||||</v>
      </c>
      <c r="AR23" s="14">
        <f t="shared" si="52"/>
        <v>71.27</v>
      </c>
      <c r="AS23" s="14">
        <f>RANK(AR23,AR$14:AR$63)+COUNTIF(AR$14:AR23,AR23)-1</f>
        <v>25</v>
      </c>
      <c r="AT23" s="24">
        <f t="shared" si="53"/>
        <v>16</v>
      </c>
      <c r="AU23" s="24">
        <f t="shared" si="54"/>
        <v>10</v>
      </c>
      <c r="AV23" s="24">
        <f t="shared" si="55"/>
        <v>2</v>
      </c>
      <c r="AW23" s="14">
        <f t="shared" si="56"/>
        <v>10</v>
      </c>
      <c r="AX23" s="24" t="str">
        <f t="shared" si="57"/>
        <v>Sydney</v>
      </c>
      <c r="AY23" s="24">
        <f t="shared" si="58"/>
        <v>80.4</v>
      </c>
      <c r="AZ23" s="185" t="str">
        <f t="shared" si="59"/>
        <v>||||||||||||||||||||||||||||||||||||||||</v>
      </c>
    </row>
    <row r="24" spans="1:52">
      <c r="A24" s="24">
        <v>11</v>
      </c>
      <c r="B24" s="24" t="str">
        <f>tblCities!C13</f>
        <v>Mexico City</v>
      </c>
      <c r="C24" s="14">
        <f t="shared" si="20"/>
        <v>59.46</v>
      </c>
      <c r="D24" s="14">
        <f>RANK(C24,C$14:C$63)+COUNTIF(C$14:C24,C24)-1</f>
        <v>45</v>
      </c>
      <c r="E24" s="24">
        <f t="shared" si="21"/>
        <v>18</v>
      </c>
      <c r="F24" s="24">
        <f t="shared" si="22"/>
        <v>11</v>
      </c>
      <c r="G24" s="24">
        <f t="shared" si="23"/>
        <v>2</v>
      </c>
      <c r="H24" s="14">
        <f t="shared" si="24"/>
        <v>11</v>
      </c>
      <c r="I24" s="24" t="str">
        <f t="shared" si="25"/>
        <v>Hong Kong</v>
      </c>
      <c r="J24" s="24">
        <f t="shared" si="26"/>
        <v>77.24</v>
      </c>
      <c r="K24" s="185" t="str">
        <f t="shared" si="27"/>
        <v>||||||||||||||||||||||||||||||||||||||</v>
      </c>
      <c r="L24" s="185">
        <f>INDEX(tblCities!$H$3:$L$52,A24,$B$4)</f>
        <v>1</v>
      </c>
      <c r="N24" s="14">
        <f t="shared" si="28"/>
        <v>61.69</v>
      </c>
      <c r="O24" s="14">
        <f>RANK(N24,N$14:N$63)+COUNTIF(N$14:N24,N24)-1</f>
        <v>27</v>
      </c>
      <c r="P24" s="24">
        <f t="shared" si="29"/>
        <v>8</v>
      </c>
      <c r="Q24" s="24">
        <f t="shared" si="30"/>
        <v>11</v>
      </c>
      <c r="R24" s="24">
        <f t="shared" si="31"/>
        <v>2</v>
      </c>
      <c r="S24" s="14" t="str">
        <f t="shared" si="32"/>
        <v>=11</v>
      </c>
      <c r="T24" s="24" t="str">
        <f t="shared" si="33"/>
        <v>Toronto</v>
      </c>
      <c r="U24" s="24">
        <f t="shared" si="34"/>
        <v>72.04</v>
      </c>
      <c r="V24" s="185" t="str">
        <f t="shared" si="35"/>
        <v>||||||||||||||||||||||||||||||||||||</v>
      </c>
      <c r="X24" s="14">
        <f t="shared" si="36"/>
        <v>61.16</v>
      </c>
      <c r="Y24" s="14">
        <f>RANK(X24,X$14:X$63)+COUNTIF(X$14:X24,X24)-1</f>
        <v>33</v>
      </c>
      <c r="Z24" s="24">
        <f t="shared" si="37"/>
        <v>46</v>
      </c>
      <c r="AA24" s="24">
        <f t="shared" si="38"/>
        <v>11</v>
      </c>
      <c r="AB24" s="24">
        <f t="shared" si="39"/>
        <v>2</v>
      </c>
      <c r="AC24" s="14">
        <f t="shared" si="40"/>
        <v>11</v>
      </c>
      <c r="AD24" s="24" t="str">
        <f t="shared" si="41"/>
        <v>Madrid</v>
      </c>
      <c r="AE24" s="24">
        <f t="shared" si="42"/>
        <v>75.53</v>
      </c>
      <c r="AF24" s="185" t="str">
        <f t="shared" si="43"/>
        <v>|||||||||||||||||||||||||||||||||||||</v>
      </c>
      <c r="AH24" s="14">
        <f t="shared" si="44"/>
        <v>52.93</v>
      </c>
      <c r="AI24" s="14">
        <f>RANK(AH24,AH$14:AH$63)+COUNTIF(AH$14:AH24,AH24)-1</f>
        <v>49</v>
      </c>
      <c r="AJ24" s="24">
        <f t="shared" si="45"/>
        <v>38</v>
      </c>
      <c r="AK24" s="24">
        <f t="shared" si="46"/>
        <v>10</v>
      </c>
      <c r="AL24" s="24">
        <f t="shared" si="47"/>
        <v>3</v>
      </c>
      <c r="AM24" s="14" t="str">
        <f t="shared" si="48"/>
        <v>=10</v>
      </c>
      <c r="AN24" s="24" t="str">
        <f t="shared" si="49"/>
        <v>Abu Dhabi</v>
      </c>
      <c r="AO24" s="24">
        <f t="shared" si="50"/>
        <v>86.16</v>
      </c>
      <c r="AP24" s="185" t="str">
        <f t="shared" si="51"/>
        <v>|||||||||||||||||||||||||||||||||||||||||||</v>
      </c>
      <c r="AR24" s="14">
        <f t="shared" si="52"/>
        <v>62.07</v>
      </c>
      <c r="AS24" s="14">
        <f>RANK(AR24,AR$14:AR$63)+COUNTIF(AR$14:AR24,AR24)-1</f>
        <v>37</v>
      </c>
      <c r="AT24" s="24">
        <f t="shared" si="53"/>
        <v>47</v>
      </c>
      <c r="AU24" s="24">
        <f t="shared" si="54"/>
        <v>11</v>
      </c>
      <c r="AV24" s="24">
        <f t="shared" si="55"/>
        <v>2</v>
      </c>
      <c r="AW24" s="14">
        <f t="shared" si="56"/>
        <v>11</v>
      </c>
      <c r="AX24" s="24" t="str">
        <f t="shared" si="57"/>
        <v>Barcelona</v>
      </c>
      <c r="AY24" s="24">
        <f t="shared" si="58"/>
        <v>78.36</v>
      </c>
      <c r="AZ24" s="185" t="str">
        <f t="shared" si="59"/>
        <v>|||||||||||||||||||||||||||||||||||||||</v>
      </c>
    </row>
    <row r="25" spans="1:52">
      <c r="A25" s="24">
        <v>12</v>
      </c>
      <c r="B25" s="24" t="str">
        <f>tblCities!C14</f>
        <v>Lima</v>
      </c>
      <c r="C25" s="14">
        <f t="shared" si="20"/>
        <v>65.01</v>
      </c>
      <c r="D25" s="14">
        <f>RANK(C25,C$14:C$63)+COUNTIF(C$14:C25,C25)-1</f>
        <v>33</v>
      </c>
      <c r="E25" s="24">
        <f t="shared" si="21"/>
        <v>7</v>
      </c>
      <c r="F25" s="24">
        <f t="shared" si="22"/>
        <v>12</v>
      </c>
      <c r="G25" s="24">
        <f t="shared" si="23"/>
        <v>2</v>
      </c>
      <c r="H25" s="14">
        <f t="shared" si="24"/>
        <v>12</v>
      </c>
      <c r="I25" s="24" t="str">
        <f t="shared" si="25"/>
        <v>San Francisco</v>
      </c>
      <c r="J25" s="24">
        <f t="shared" si="26"/>
        <v>76.63</v>
      </c>
      <c r="K25" s="185" t="str">
        <f t="shared" si="27"/>
        <v>||||||||||||||||||||||||||||||||||||||</v>
      </c>
      <c r="L25" s="185">
        <f>INDEX(tblCities!$H$3:$L$52,A25,$B$4)</f>
        <v>1</v>
      </c>
      <c r="N25" s="14">
        <f t="shared" si="28"/>
        <v>55.09</v>
      </c>
      <c r="O25" s="14">
        <f>RANK(N25,N$14:N$63)+COUNTIF(N$14:N25,N25)-1</f>
        <v>38</v>
      </c>
      <c r="P25" s="24">
        <f t="shared" si="29"/>
        <v>9</v>
      </c>
      <c r="Q25" s="24">
        <f t="shared" si="30"/>
        <v>11</v>
      </c>
      <c r="R25" s="24">
        <f t="shared" si="31"/>
        <v>2</v>
      </c>
      <c r="S25" s="14" t="str">
        <f t="shared" si="32"/>
        <v>=11</v>
      </c>
      <c r="T25" s="24" t="str">
        <f t="shared" si="33"/>
        <v>Montreal</v>
      </c>
      <c r="U25" s="24">
        <f t="shared" si="34"/>
        <v>72.04</v>
      </c>
      <c r="V25" s="185" t="str">
        <f t="shared" si="35"/>
        <v>||||||||||||||||||||||||||||||||||||</v>
      </c>
      <c r="X25" s="14">
        <f t="shared" si="36"/>
        <v>54.44</v>
      </c>
      <c r="Y25" s="14">
        <f>RANK(X25,X$14:X$63)+COUNTIF(X$14:X25,X25)-1</f>
        <v>40</v>
      </c>
      <c r="Z25" s="24">
        <f t="shared" si="37"/>
        <v>30</v>
      </c>
      <c r="AA25" s="24">
        <f t="shared" si="38"/>
        <v>12</v>
      </c>
      <c r="AB25" s="24">
        <f t="shared" si="39"/>
        <v>2</v>
      </c>
      <c r="AC25" s="14">
        <f t="shared" si="40"/>
        <v>12</v>
      </c>
      <c r="AD25" s="24" t="str">
        <f t="shared" si="41"/>
        <v>Singapore</v>
      </c>
      <c r="AE25" s="24">
        <f t="shared" si="42"/>
        <v>75.31</v>
      </c>
      <c r="AF25" s="185" t="str">
        <f t="shared" si="43"/>
        <v>|||||||||||||||||||||||||||||||||||||</v>
      </c>
      <c r="AH25" s="14">
        <f t="shared" si="44"/>
        <v>75.69</v>
      </c>
      <c r="AI25" s="14">
        <f>RANK(AH25,AH$14:AH$63)+COUNTIF(AH$14:AH25,AH25)-1</f>
        <v>37</v>
      </c>
      <c r="AJ25" s="24">
        <f t="shared" si="45"/>
        <v>29</v>
      </c>
      <c r="AK25" s="24">
        <f t="shared" si="46"/>
        <v>12</v>
      </c>
      <c r="AL25" s="24">
        <f t="shared" si="47"/>
        <v>2</v>
      </c>
      <c r="AM25" s="14">
        <f t="shared" si="48"/>
        <v>12</v>
      </c>
      <c r="AN25" s="24" t="str">
        <f t="shared" si="49"/>
        <v>Osaka</v>
      </c>
      <c r="AO25" s="24">
        <f t="shared" si="50"/>
        <v>85.71</v>
      </c>
      <c r="AP25" s="185" t="str">
        <f t="shared" si="51"/>
        <v>||||||||||||||||||||||||||||||||||||||||||</v>
      </c>
      <c r="AR25" s="14">
        <f t="shared" si="52"/>
        <v>74.81</v>
      </c>
      <c r="AS25" s="14">
        <f>RANK(AR25,AR$14:AR$63)+COUNTIF(AR$14:AR25,AR25)-1</f>
        <v>15</v>
      </c>
      <c r="AT25" s="24">
        <f t="shared" si="53"/>
        <v>50</v>
      </c>
      <c r="AU25" s="24">
        <f t="shared" si="54"/>
        <v>12</v>
      </c>
      <c r="AV25" s="24">
        <f t="shared" si="55"/>
        <v>2</v>
      </c>
      <c r="AW25" s="14">
        <f t="shared" si="56"/>
        <v>12</v>
      </c>
      <c r="AX25" s="24" t="str">
        <f t="shared" si="57"/>
        <v>London</v>
      </c>
      <c r="AY25" s="24">
        <f t="shared" si="58"/>
        <v>77.35</v>
      </c>
      <c r="AZ25" s="185" t="str">
        <f t="shared" si="59"/>
        <v>||||||||||||||||||||||||||||||||||||||</v>
      </c>
    </row>
    <row r="26" spans="1:52">
      <c r="A26" s="24">
        <v>13</v>
      </c>
      <c r="B26" s="24" t="str">
        <f>tblCities!C15</f>
        <v>Santiago</v>
      </c>
      <c r="C26" s="14">
        <f t="shared" si="20"/>
        <v>66.98</v>
      </c>
      <c r="D26" s="14">
        <f>RANK(C26,C$14:C$63)+COUNTIF(C$14:C26,C26)-1</f>
        <v>28</v>
      </c>
      <c r="E26" s="24">
        <f t="shared" si="21"/>
        <v>32</v>
      </c>
      <c r="F26" s="24">
        <f t="shared" si="22"/>
        <v>13</v>
      </c>
      <c r="G26" s="24">
        <f t="shared" si="23"/>
        <v>2</v>
      </c>
      <c r="H26" s="14">
        <f t="shared" si="24"/>
        <v>13</v>
      </c>
      <c r="I26" s="24" t="str">
        <f t="shared" si="25"/>
        <v>Taipei</v>
      </c>
      <c r="J26" s="24">
        <f t="shared" si="26"/>
        <v>76.51</v>
      </c>
      <c r="K26" s="185" t="str">
        <f t="shared" si="27"/>
        <v>||||||||||||||||||||||||||||||||||||||</v>
      </c>
      <c r="L26" s="185">
        <f>INDEX(tblCities!$H$3:$L$52,A26,$B$4)</f>
        <v>1</v>
      </c>
      <c r="N26" s="14">
        <f t="shared" si="28"/>
        <v>70.51</v>
      </c>
      <c r="O26" s="14">
        <f>RANK(N26,N$14:N$63)+COUNTIF(N$14:N26,N26)-1</f>
        <v>13</v>
      </c>
      <c r="P26" s="24">
        <f t="shared" si="29"/>
        <v>13</v>
      </c>
      <c r="Q26" s="24">
        <f t="shared" si="30"/>
        <v>13</v>
      </c>
      <c r="R26" s="24">
        <f t="shared" si="31"/>
        <v>2</v>
      </c>
      <c r="S26" s="14">
        <f t="shared" si="32"/>
        <v>13</v>
      </c>
      <c r="T26" s="24" t="str">
        <f t="shared" si="33"/>
        <v>Santiago</v>
      </c>
      <c r="U26" s="24">
        <f t="shared" si="34"/>
        <v>70.51</v>
      </c>
      <c r="V26" s="185" t="str">
        <f t="shared" si="35"/>
        <v>|||||||||||||||||||||||||||||||||||</v>
      </c>
      <c r="X26" s="14">
        <f t="shared" si="36"/>
        <v>65.02</v>
      </c>
      <c r="Y26" s="14">
        <f>RANK(X26,X$14:X$63)+COUNTIF(X$14:X26,X26)-1</f>
        <v>28</v>
      </c>
      <c r="Z26" s="24">
        <f t="shared" si="37"/>
        <v>44</v>
      </c>
      <c r="AA26" s="24">
        <f t="shared" si="38"/>
        <v>13</v>
      </c>
      <c r="AB26" s="24">
        <f t="shared" si="39"/>
        <v>2</v>
      </c>
      <c r="AC26" s="14">
        <f t="shared" si="40"/>
        <v>13</v>
      </c>
      <c r="AD26" s="24" t="str">
        <f t="shared" si="41"/>
        <v>Amsterdam</v>
      </c>
      <c r="AE26" s="24">
        <f t="shared" si="42"/>
        <v>74.28</v>
      </c>
      <c r="AF26" s="185" t="str">
        <f t="shared" si="43"/>
        <v>|||||||||||||||||||||||||||||||||||||</v>
      </c>
      <c r="AH26" s="14">
        <f t="shared" si="44"/>
        <v>78.83</v>
      </c>
      <c r="AI26" s="14">
        <f>RANK(AH26,AH$14:AH$63)+COUNTIF(AH$14:AH26,AH26)-1</f>
        <v>24</v>
      </c>
      <c r="AJ26" s="24">
        <f t="shared" si="45"/>
        <v>10</v>
      </c>
      <c r="AK26" s="24">
        <f t="shared" si="46"/>
        <v>13</v>
      </c>
      <c r="AL26" s="24">
        <f t="shared" si="47"/>
        <v>2</v>
      </c>
      <c r="AM26" s="14">
        <f t="shared" si="48"/>
        <v>13</v>
      </c>
      <c r="AN26" s="24" t="str">
        <f t="shared" si="49"/>
        <v>Chicago</v>
      </c>
      <c r="AO26" s="24">
        <f t="shared" si="50"/>
        <v>85.69</v>
      </c>
      <c r="AP26" s="185" t="str">
        <f t="shared" si="51"/>
        <v>||||||||||||||||||||||||||||||||||||||||||</v>
      </c>
      <c r="AR26" s="14">
        <f t="shared" si="52"/>
        <v>53.58</v>
      </c>
      <c r="AS26" s="14">
        <f>RANK(AR26,AR$14:AR$63)+COUNTIF(AR$14:AR26,AR26)-1</f>
        <v>50</v>
      </c>
      <c r="AT26" s="24">
        <f t="shared" si="53"/>
        <v>48</v>
      </c>
      <c r="AU26" s="24">
        <f t="shared" si="54"/>
        <v>13</v>
      </c>
      <c r="AV26" s="24">
        <f t="shared" si="55"/>
        <v>2</v>
      </c>
      <c r="AW26" s="14">
        <f t="shared" si="56"/>
        <v>13</v>
      </c>
      <c r="AX26" s="24" t="str">
        <f t="shared" si="57"/>
        <v>Zurich</v>
      </c>
      <c r="AY26" s="24">
        <f t="shared" si="58"/>
        <v>76.62</v>
      </c>
      <c r="AZ26" s="185" t="str">
        <f t="shared" si="59"/>
        <v>||||||||||||||||||||||||||||||||||||||</v>
      </c>
    </row>
    <row r="27" spans="1:52">
      <c r="A27" s="24">
        <v>14</v>
      </c>
      <c r="B27" s="24" t="str">
        <f>tblCities!C16</f>
        <v>New York</v>
      </c>
      <c r="C27" s="14">
        <f t="shared" si="20"/>
        <v>78.08</v>
      </c>
      <c r="D27" s="14">
        <f>RANK(C27,C$14:C$63)+COUNTIF(C$14:C27,C27)-1</f>
        <v>10</v>
      </c>
      <c r="E27" s="24">
        <f t="shared" si="21"/>
        <v>9</v>
      </c>
      <c r="F27" s="24">
        <f t="shared" si="22"/>
        <v>14</v>
      </c>
      <c r="G27" s="24">
        <f t="shared" si="23"/>
        <v>2</v>
      </c>
      <c r="H27" s="14">
        <f t="shared" si="24"/>
        <v>14</v>
      </c>
      <c r="I27" s="24" t="str">
        <f t="shared" si="25"/>
        <v>Montreal</v>
      </c>
      <c r="J27" s="24">
        <f t="shared" si="26"/>
        <v>75.6</v>
      </c>
      <c r="K27" s="185" t="str">
        <f t="shared" si="27"/>
        <v>|||||||||||||||||||||||||||||||||||||</v>
      </c>
      <c r="L27" s="185">
        <f>INDEX(tblCities!$H$3:$L$52,A27,$B$4)</f>
        <v>1</v>
      </c>
      <c r="N27" s="14">
        <f t="shared" si="28"/>
        <v>79.42</v>
      </c>
      <c r="O27" s="14">
        <f>RANK(N27,N$14:N$63)+COUNTIF(N$14:N27,N27)-1</f>
        <v>3</v>
      </c>
      <c r="P27" s="24">
        <f t="shared" si="29"/>
        <v>16</v>
      </c>
      <c r="Q27" s="24">
        <f t="shared" si="30"/>
        <v>14</v>
      </c>
      <c r="R27" s="24">
        <f t="shared" si="31"/>
        <v>2</v>
      </c>
      <c r="S27" s="14">
        <f t="shared" si="32"/>
        <v>14</v>
      </c>
      <c r="T27" s="24" t="str">
        <f t="shared" si="33"/>
        <v>Sydney</v>
      </c>
      <c r="U27" s="24">
        <f t="shared" si="34"/>
        <v>70.48</v>
      </c>
      <c r="V27" s="185" t="str">
        <f t="shared" si="35"/>
        <v>|||||||||||||||||||||||||||||||||||</v>
      </c>
      <c r="X27" s="14">
        <f t="shared" si="36"/>
        <v>78.52</v>
      </c>
      <c r="Y27" s="14">
        <f>RANK(X27,X$14:X$63)+COUNTIF(X$14:X27,X27)-1</f>
        <v>2</v>
      </c>
      <c r="Z27" s="24">
        <f t="shared" si="37"/>
        <v>17</v>
      </c>
      <c r="AA27" s="24">
        <f t="shared" si="38"/>
        <v>14</v>
      </c>
      <c r="AB27" s="24">
        <f t="shared" si="39"/>
        <v>2</v>
      </c>
      <c r="AC27" s="14">
        <f t="shared" si="40"/>
        <v>14</v>
      </c>
      <c r="AD27" s="24" t="str">
        <f t="shared" si="41"/>
        <v>Melbourne</v>
      </c>
      <c r="AE27" s="24">
        <f t="shared" si="42"/>
        <v>74.27</v>
      </c>
      <c r="AF27" s="185" t="str">
        <f t="shared" si="43"/>
        <v>|||||||||||||||||||||||||||||||||||||</v>
      </c>
      <c r="AH27" s="14">
        <f t="shared" si="44"/>
        <v>84.93</v>
      </c>
      <c r="AI27" s="14">
        <f>RANK(AH27,AH$14:AH$63)+COUNTIF(AH$14:AH27,AH27)-1</f>
        <v>16</v>
      </c>
      <c r="AJ27" s="24">
        <f t="shared" si="45"/>
        <v>47</v>
      </c>
      <c r="AK27" s="24">
        <f t="shared" si="46"/>
        <v>14</v>
      </c>
      <c r="AL27" s="24">
        <f t="shared" si="47"/>
        <v>2</v>
      </c>
      <c r="AM27" s="14">
        <f t="shared" si="48"/>
        <v>14</v>
      </c>
      <c r="AN27" s="24" t="str">
        <f t="shared" si="49"/>
        <v>Barcelona</v>
      </c>
      <c r="AO27" s="24">
        <f t="shared" si="50"/>
        <v>85.65</v>
      </c>
      <c r="AP27" s="185" t="str">
        <f t="shared" si="51"/>
        <v>||||||||||||||||||||||||||||||||||||||||||</v>
      </c>
      <c r="AR27" s="14">
        <f t="shared" si="52"/>
        <v>69.45</v>
      </c>
      <c r="AS27" s="14">
        <f>RANK(AR27,AR$14:AR$63)+COUNTIF(AR$14:AR27,AR27)-1</f>
        <v>28</v>
      </c>
      <c r="AT27" s="24">
        <f t="shared" si="53"/>
        <v>36</v>
      </c>
      <c r="AU27" s="24">
        <f t="shared" si="54"/>
        <v>14</v>
      </c>
      <c r="AV27" s="24">
        <f t="shared" si="55"/>
        <v>4</v>
      </c>
      <c r="AW27" s="14">
        <f t="shared" si="56"/>
        <v>14</v>
      </c>
      <c r="AX27" s="24" t="str">
        <f t="shared" si="57"/>
        <v>Doha</v>
      </c>
      <c r="AY27" s="24">
        <f t="shared" si="58"/>
        <v>76.41</v>
      </c>
      <c r="AZ27" s="185" t="str">
        <f t="shared" si="59"/>
        <v>||||||||||||||||||||||||||||||||||||||</v>
      </c>
    </row>
    <row r="28" spans="1:52">
      <c r="A28" s="24">
        <v>15</v>
      </c>
      <c r="B28" s="24" t="str">
        <f>tblCities!C17</f>
        <v>Washington DC</v>
      </c>
      <c r="C28" s="14">
        <f t="shared" si="20"/>
        <v>73.37</v>
      </c>
      <c r="D28" s="14">
        <f>RANK(C28,C$14:C$63)+COUNTIF(C$14:C28,C28)-1</f>
        <v>19</v>
      </c>
      <c r="E28" s="24">
        <f t="shared" si="21"/>
        <v>47</v>
      </c>
      <c r="F28" s="24">
        <f t="shared" si="22"/>
        <v>15</v>
      </c>
      <c r="G28" s="24">
        <f t="shared" si="23"/>
        <v>2</v>
      </c>
      <c r="H28" s="14">
        <f t="shared" si="24"/>
        <v>15</v>
      </c>
      <c r="I28" s="24" t="str">
        <f t="shared" si="25"/>
        <v>Barcelona</v>
      </c>
      <c r="J28" s="24">
        <f t="shared" si="26"/>
        <v>75.16</v>
      </c>
      <c r="K28" s="185" t="str">
        <f t="shared" si="27"/>
        <v>|||||||||||||||||||||||||||||||||||||</v>
      </c>
      <c r="L28" s="185">
        <f>INDEX(tblCities!$H$3:$L$52,A28,$B$4)</f>
        <v>1</v>
      </c>
      <c r="N28" s="14">
        <f t="shared" si="28"/>
        <v>69.99</v>
      </c>
      <c r="O28" s="14">
        <f>RANK(N28,N$14:N$63)+COUNTIF(N$14:N28,N28)-1</f>
        <v>15</v>
      </c>
      <c r="P28" s="24">
        <f t="shared" si="29"/>
        <v>15</v>
      </c>
      <c r="Q28" s="24">
        <f t="shared" si="30"/>
        <v>15</v>
      </c>
      <c r="R28" s="24">
        <f t="shared" si="31"/>
        <v>2</v>
      </c>
      <c r="S28" s="14">
        <f t="shared" si="32"/>
        <v>15</v>
      </c>
      <c r="T28" s="24" t="str">
        <f t="shared" si="33"/>
        <v>Washington DC</v>
      </c>
      <c r="U28" s="24">
        <f t="shared" si="34"/>
        <v>69.99</v>
      </c>
      <c r="V28" s="185" t="str">
        <f t="shared" si="35"/>
        <v>||||||||||||||||||||||||||||||||||</v>
      </c>
      <c r="X28" s="14">
        <f t="shared" si="36"/>
        <v>72.53</v>
      </c>
      <c r="Y28" s="14">
        <f>RANK(X28,X$14:X$63)+COUNTIF(X$14:X28,X28)-1</f>
        <v>19</v>
      </c>
      <c r="Z28" s="24">
        <f t="shared" si="37"/>
        <v>18</v>
      </c>
      <c r="AA28" s="24">
        <f t="shared" si="38"/>
        <v>15</v>
      </c>
      <c r="AB28" s="24">
        <f t="shared" si="39"/>
        <v>2</v>
      </c>
      <c r="AC28" s="14">
        <f t="shared" si="40"/>
        <v>15</v>
      </c>
      <c r="AD28" s="24" t="str">
        <f t="shared" si="41"/>
        <v>Hong Kong</v>
      </c>
      <c r="AE28" s="24">
        <f t="shared" si="42"/>
        <v>73.61</v>
      </c>
      <c r="AF28" s="185" t="str">
        <f t="shared" si="43"/>
        <v>||||||||||||||||||||||||||||||||||||</v>
      </c>
      <c r="AH28" s="14">
        <f t="shared" si="44"/>
        <v>77</v>
      </c>
      <c r="AI28" s="14">
        <f>RANK(AH28,AH$14:AH$63)+COUNTIF(AH$14:AH28,AH28)-1</f>
        <v>29</v>
      </c>
      <c r="AJ28" s="24">
        <f t="shared" si="45"/>
        <v>31</v>
      </c>
      <c r="AK28" s="24">
        <f t="shared" si="46"/>
        <v>15</v>
      </c>
      <c r="AL28" s="24">
        <f t="shared" si="47"/>
        <v>2</v>
      </c>
      <c r="AM28" s="14">
        <f t="shared" si="48"/>
        <v>15</v>
      </c>
      <c r="AN28" s="24" t="str">
        <f t="shared" si="49"/>
        <v>Seoul</v>
      </c>
      <c r="AO28" s="24">
        <f t="shared" si="50"/>
        <v>85.64</v>
      </c>
      <c r="AP28" s="185" t="str">
        <f t="shared" si="51"/>
        <v>||||||||||||||||||||||||||||||||||||||||||</v>
      </c>
      <c r="AR28" s="14">
        <f t="shared" si="52"/>
        <v>73.95</v>
      </c>
      <c r="AS28" s="14">
        <f>RANK(AR28,AR$14:AR$63)+COUNTIF(AR$14:AR28,AR28)-1</f>
        <v>17</v>
      </c>
      <c r="AT28" s="24">
        <f t="shared" si="53"/>
        <v>12</v>
      </c>
      <c r="AU28" s="24">
        <f t="shared" si="54"/>
        <v>15</v>
      </c>
      <c r="AV28" s="24">
        <f t="shared" si="55"/>
        <v>2</v>
      </c>
      <c r="AW28" s="14">
        <f t="shared" si="56"/>
        <v>15</v>
      </c>
      <c r="AX28" s="24" t="str">
        <f t="shared" si="57"/>
        <v>Lima</v>
      </c>
      <c r="AY28" s="24">
        <f t="shared" si="58"/>
        <v>74.81</v>
      </c>
      <c r="AZ28" s="185" t="str">
        <f t="shared" si="59"/>
        <v>|||||||||||||||||||||||||||||||||||||</v>
      </c>
    </row>
    <row r="29" spans="1:52">
      <c r="A29" s="24">
        <v>16</v>
      </c>
      <c r="B29" s="24" t="str">
        <f>tblCities!C18</f>
        <v>Sydney</v>
      </c>
      <c r="C29" s="14">
        <f t="shared" si="20"/>
        <v>78.91</v>
      </c>
      <c r="D29" s="14">
        <f>RANK(C29,C$14:C$63)+COUNTIF(C$14:C29,C29)-1</f>
        <v>6</v>
      </c>
      <c r="E29" s="24">
        <f t="shared" si="21"/>
        <v>10</v>
      </c>
      <c r="F29" s="24">
        <f t="shared" si="22"/>
        <v>16</v>
      </c>
      <c r="G29" s="24">
        <f t="shared" si="23"/>
        <v>2</v>
      </c>
      <c r="H29" s="14">
        <f t="shared" si="24"/>
        <v>16</v>
      </c>
      <c r="I29" s="24" t="str">
        <f t="shared" si="25"/>
        <v>Chicago</v>
      </c>
      <c r="J29" s="24">
        <f t="shared" si="26"/>
        <v>74.89</v>
      </c>
      <c r="K29" s="185" t="str">
        <f t="shared" si="27"/>
        <v>|||||||||||||||||||||||||||||||||||||</v>
      </c>
      <c r="L29" s="185">
        <f>INDEX(tblCities!$H$3:$L$52,A29,$B$4)</f>
        <v>1</v>
      </c>
      <c r="N29" s="14">
        <f t="shared" si="28"/>
        <v>70.48</v>
      </c>
      <c r="O29" s="14">
        <f>RANK(N29,N$14:N$63)+COUNTIF(N$14:N29,N29)-1</f>
        <v>14</v>
      </c>
      <c r="P29" s="24">
        <f t="shared" si="29"/>
        <v>50</v>
      </c>
      <c r="Q29" s="24">
        <f t="shared" si="30"/>
        <v>16</v>
      </c>
      <c r="R29" s="24">
        <f t="shared" si="31"/>
        <v>2</v>
      </c>
      <c r="S29" s="14">
        <f t="shared" si="32"/>
        <v>16</v>
      </c>
      <c r="T29" s="24" t="str">
        <f t="shared" si="33"/>
        <v>London</v>
      </c>
      <c r="U29" s="24">
        <f t="shared" si="34"/>
        <v>69.42</v>
      </c>
      <c r="V29" s="185" t="str">
        <f t="shared" si="35"/>
        <v>||||||||||||||||||||||||||||||||||</v>
      </c>
      <c r="X29" s="14">
        <f t="shared" si="36"/>
        <v>73.35</v>
      </c>
      <c r="Y29" s="14">
        <f>RANK(X29,X$14:X$63)+COUNTIF(X$14:X29,X29)-1</f>
        <v>17</v>
      </c>
      <c r="Z29" s="24">
        <f t="shared" si="37"/>
        <v>7</v>
      </c>
      <c r="AA29" s="24">
        <f t="shared" si="38"/>
        <v>16</v>
      </c>
      <c r="AB29" s="24">
        <f t="shared" si="39"/>
        <v>2</v>
      </c>
      <c r="AC29" s="14">
        <f t="shared" si="40"/>
        <v>16</v>
      </c>
      <c r="AD29" s="24" t="str">
        <f t="shared" si="41"/>
        <v>San Francisco</v>
      </c>
      <c r="AE29" s="24">
        <f t="shared" si="42"/>
        <v>73.53</v>
      </c>
      <c r="AF29" s="185" t="str">
        <f t="shared" si="43"/>
        <v>||||||||||||||||||||||||||||||||||||</v>
      </c>
      <c r="AH29" s="14">
        <f t="shared" si="44"/>
        <v>91.4</v>
      </c>
      <c r="AI29" s="14">
        <f>RANK(AH29,AH$14:AH$63)+COUNTIF(AH$14:AH29,AH29)-1</f>
        <v>3</v>
      </c>
      <c r="AJ29" s="24">
        <f t="shared" si="45"/>
        <v>14</v>
      </c>
      <c r="AK29" s="24">
        <f t="shared" si="46"/>
        <v>16</v>
      </c>
      <c r="AL29" s="24">
        <f t="shared" si="47"/>
        <v>2</v>
      </c>
      <c r="AM29" s="14">
        <f t="shared" si="48"/>
        <v>16</v>
      </c>
      <c r="AN29" s="24" t="str">
        <f t="shared" si="49"/>
        <v>New York</v>
      </c>
      <c r="AO29" s="24">
        <f t="shared" si="50"/>
        <v>84.93</v>
      </c>
      <c r="AP29" s="185" t="str">
        <f t="shared" si="51"/>
        <v>||||||||||||||||||||||||||||||||||||||||||</v>
      </c>
      <c r="AR29" s="14">
        <f t="shared" si="52"/>
        <v>80.4</v>
      </c>
      <c r="AS29" s="14">
        <f>RANK(AR29,AR$14:AR$63)+COUNTIF(AR$14:AR29,AR29)-1</f>
        <v>10</v>
      </c>
      <c r="AT29" s="24">
        <f t="shared" si="53"/>
        <v>41</v>
      </c>
      <c r="AU29" s="24">
        <f t="shared" si="54"/>
        <v>16</v>
      </c>
      <c r="AV29" s="24">
        <f t="shared" si="55"/>
        <v>2</v>
      </c>
      <c r="AW29" s="14">
        <f t="shared" si="56"/>
        <v>16</v>
      </c>
      <c r="AX29" s="24" t="str">
        <f t="shared" si="57"/>
        <v>Frankfurt</v>
      </c>
      <c r="AY29" s="24">
        <f t="shared" si="58"/>
        <v>74.57</v>
      </c>
      <c r="AZ29" s="185" t="str">
        <f t="shared" si="59"/>
        <v>|||||||||||||||||||||||||||||||||||||</v>
      </c>
    </row>
    <row r="30" spans="1:52">
      <c r="A30" s="24">
        <v>17</v>
      </c>
      <c r="B30" s="24" t="str">
        <f>tblCities!C19</f>
        <v>Melbourne</v>
      </c>
      <c r="C30" s="14">
        <f t="shared" si="20"/>
        <v>78.67</v>
      </c>
      <c r="D30" s="14">
        <f>RANK(C30,C$14:C$63)+COUNTIF(C$14:C30,C30)-1</f>
        <v>9</v>
      </c>
      <c r="E30" s="24">
        <f t="shared" si="21"/>
        <v>6</v>
      </c>
      <c r="F30" s="24">
        <f t="shared" si="22"/>
        <v>17</v>
      </c>
      <c r="G30" s="24">
        <f t="shared" si="23"/>
        <v>2</v>
      </c>
      <c r="H30" s="14">
        <f t="shared" si="24"/>
        <v>17</v>
      </c>
      <c r="I30" s="24" t="str">
        <f t="shared" si="25"/>
        <v>Los Angeles</v>
      </c>
      <c r="J30" s="24">
        <f t="shared" si="26"/>
        <v>74.24</v>
      </c>
      <c r="K30" s="185" t="str">
        <f t="shared" si="27"/>
        <v>|||||||||||||||||||||||||||||||||||||</v>
      </c>
      <c r="L30" s="185">
        <f>INDEX(tblCities!$H$3:$L$52,A30,$B$4)</f>
        <v>1</v>
      </c>
      <c r="N30" s="14">
        <f t="shared" si="28"/>
        <v>65.42</v>
      </c>
      <c r="O30" s="14">
        <f>RANK(N30,N$14:N$63)+COUNTIF(N$14:N30,N30)-1</f>
        <v>20</v>
      </c>
      <c r="P30" s="24">
        <f t="shared" si="29"/>
        <v>44</v>
      </c>
      <c r="Q30" s="24">
        <f t="shared" si="30"/>
        <v>17</v>
      </c>
      <c r="R30" s="24">
        <f t="shared" si="31"/>
        <v>2</v>
      </c>
      <c r="S30" s="14">
        <f t="shared" si="32"/>
        <v>17</v>
      </c>
      <c r="T30" s="24" t="str">
        <f t="shared" si="33"/>
        <v>Amsterdam</v>
      </c>
      <c r="U30" s="24">
        <f t="shared" si="34"/>
        <v>68.81</v>
      </c>
      <c r="V30" s="185" t="str">
        <f t="shared" si="35"/>
        <v>||||||||||||||||||||||||||||||||||</v>
      </c>
      <c r="X30" s="14">
        <f t="shared" si="36"/>
        <v>74.27</v>
      </c>
      <c r="Y30" s="14">
        <f>RANK(X30,X$14:X$63)+COUNTIF(X$14:X30,X30)-1</f>
        <v>14</v>
      </c>
      <c r="Z30" s="24">
        <f t="shared" si="37"/>
        <v>16</v>
      </c>
      <c r="AA30" s="24">
        <f t="shared" si="38"/>
        <v>17</v>
      </c>
      <c r="AB30" s="24">
        <f t="shared" si="39"/>
        <v>2</v>
      </c>
      <c r="AC30" s="14">
        <f t="shared" si="40"/>
        <v>17</v>
      </c>
      <c r="AD30" s="24" t="str">
        <f t="shared" si="41"/>
        <v>Sydney</v>
      </c>
      <c r="AE30" s="24">
        <f t="shared" si="42"/>
        <v>73.35</v>
      </c>
      <c r="AF30" s="185" t="str">
        <f t="shared" si="43"/>
        <v>||||||||||||||||||||||||||||||||||||</v>
      </c>
      <c r="AH30" s="14">
        <f t="shared" si="44"/>
        <v>92.28</v>
      </c>
      <c r="AI30" s="14">
        <f>RANK(AH30,AH$14:AH$63)+COUNTIF(AH$14:AH30,AH30)-1</f>
        <v>2</v>
      </c>
      <c r="AJ30" s="24">
        <f t="shared" si="45"/>
        <v>39</v>
      </c>
      <c r="AK30" s="24">
        <f t="shared" si="46"/>
        <v>17</v>
      </c>
      <c r="AL30" s="24">
        <f t="shared" si="47"/>
        <v>2</v>
      </c>
      <c r="AM30" s="14">
        <f t="shared" si="48"/>
        <v>17</v>
      </c>
      <c r="AN30" s="24" t="str">
        <f t="shared" si="49"/>
        <v>Brussels</v>
      </c>
      <c r="AO30" s="24">
        <f t="shared" si="50"/>
        <v>84.34</v>
      </c>
      <c r="AP30" s="185" t="str">
        <f t="shared" si="51"/>
        <v>||||||||||||||||||||||||||||||||||||||||||</v>
      </c>
      <c r="AR30" s="14">
        <f t="shared" si="52"/>
        <v>82.72</v>
      </c>
      <c r="AS30" s="14">
        <f>RANK(AR30,AR$14:AR$63)+COUNTIF(AR$14:AR30,AR30)-1</f>
        <v>8</v>
      </c>
      <c r="AT30" s="24">
        <f t="shared" si="53"/>
        <v>15</v>
      </c>
      <c r="AU30" s="24">
        <f t="shared" si="54"/>
        <v>17</v>
      </c>
      <c r="AV30" s="24">
        <f t="shared" si="55"/>
        <v>2</v>
      </c>
      <c r="AW30" s="14">
        <f t="shared" si="56"/>
        <v>17</v>
      </c>
      <c r="AX30" s="24" t="str">
        <f t="shared" si="57"/>
        <v>Washington DC</v>
      </c>
      <c r="AY30" s="24">
        <f t="shared" si="58"/>
        <v>73.95</v>
      </c>
      <c r="AZ30" s="185" t="str">
        <f t="shared" si="59"/>
        <v>||||||||||||||||||||||||||||||||||||</v>
      </c>
    </row>
    <row r="31" spans="1:52">
      <c r="A31" s="24">
        <v>18</v>
      </c>
      <c r="B31" s="24" t="str">
        <f>tblCities!C20</f>
        <v>Hong Kong</v>
      </c>
      <c r="C31" s="14">
        <f t="shared" si="20"/>
        <v>77.24</v>
      </c>
      <c r="D31" s="14">
        <f>RANK(C31,C$14:C$63)+COUNTIF(C$14:C31,C31)-1</f>
        <v>11</v>
      </c>
      <c r="E31" s="24">
        <f t="shared" si="21"/>
        <v>50</v>
      </c>
      <c r="F31" s="24">
        <f t="shared" si="22"/>
        <v>18</v>
      </c>
      <c r="G31" s="24">
        <f t="shared" si="23"/>
        <v>2</v>
      </c>
      <c r="H31" s="14">
        <f t="shared" si="24"/>
        <v>18</v>
      </c>
      <c r="I31" s="24" t="str">
        <f t="shared" si="25"/>
        <v>London</v>
      </c>
      <c r="J31" s="24">
        <f t="shared" si="26"/>
        <v>73.83</v>
      </c>
      <c r="K31" s="185" t="str">
        <f t="shared" si="27"/>
        <v>||||||||||||||||||||||||||||||||||||</v>
      </c>
      <c r="L31" s="185">
        <f>INDEX(tblCities!$H$3:$L$52,A31,$B$4)</f>
        <v>1</v>
      </c>
      <c r="N31" s="14">
        <f t="shared" si="28"/>
        <v>78.78</v>
      </c>
      <c r="O31" s="14">
        <f>RANK(N31,N$14:N$63)+COUNTIF(N$14:N31,N31)-1</f>
        <v>4</v>
      </c>
      <c r="P31" s="24">
        <f t="shared" si="29"/>
        <v>24</v>
      </c>
      <c r="Q31" s="24">
        <f t="shared" si="30"/>
        <v>18</v>
      </c>
      <c r="R31" s="24">
        <f t="shared" si="31"/>
        <v>2</v>
      </c>
      <c r="S31" s="14">
        <f t="shared" si="32"/>
        <v>18</v>
      </c>
      <c r="T31" s="24" t="str">
        <f t="shared" si="33"/>
        <v>Mumbai</v>
      </c>
      <c r="U31" s="24">
        <f t="shared" si="34"/>
        <v>68.07</v>
      </c>
      <c r="V31" s="185" t="str">
        <f t="shared" si="35"/>
        <v>||||||||||||||||||||||||||||||||||</v>
      </c>
      <c r="X31" s="14">
        <f t="shared" si="36"/>
        <v>73.61</v>
      </c>
      <c r="Y31" s="14">
        <f>RANK(X31,X$14:X$63)+COUNTIF(X$14:X31,X31)-1</f>
        <v>15</v>
      </c>
      <c r="Z31" s="24">
        <f t="shared" si="37"/>
        <v>31</v>
      </c>
      <c r="AA31" s="24">
        <f t="shared" si="38"/>
        <v>18</v>
      </c>
      <c r="AB31" s="24">
        <f t="shared" si="39"/>
        <v>2</v>
      </c>
      <c r="AC31" s="14">
        <f t="shared" si="40"/>
        <v>18</v>
      </c>
      <c r="AD31" s="24" t="str">
        <f t="shared" si="41"/>
        <v>Seoul</v>
      </c>
      <c r="AE31" s="24">
        <f t="shared" si="42"/>
        <v>72.86</v>
      </c>
      <c r="AF31" s="185" t="str">
        <f t="shared" si="43"/>
        <v>||||||||||||||||||||||||||||||||||||</v>
      </c>
      <c r="AH31" s="14">
        <f t="shared" si="44"/>
        <v>71.46</v>
      </c>
      <c r="AI31" s="14">
        <f>RANK(AH31,AH$14:AH$63)+COUNTIF(AH$14:AH31,AH31)-1</f>
        <v>40</v>
      </c>
      <c r="AJ31" s="24">
        <f t="shared" si="45"/>
        <v>42</v>
      </c>
      <c r="AK31" s="24">
        <f t="shared" si="46"/>
        <v>18</v>
      </c>
      <c r="AL31" s="24">
        <f t="shared" si="47"/>
        <v>2</v>
      </c>
      <c r="AM31" s="14">
        <f t="shared" si="48"/>
        <v>18</v>
      </c>
      <c r="AN31" s="24" t="str">
        <f t="shared" si="49"/>
        <v>Rome</v>
      </c>
      <c r="AO31" s="24">
        <f t="shared" si="50"/>
        <v>83.77</v>
      </c>
      <c r="AP31" s="185" t="str">
        <f t="shared" si="51"/>
        <v>|||||||||||||||||||||||||||||||||||||||||</v>
      </c>
      <c r="AR31" s="14">
        <f t="shared" si="52"/>
        <v>85.09</v>
      </c>
      <c r="AS31" s="14">
        <f>RANK(AR31,AR$14:AR$63)+COUNTIF(AR$14:AR31,AR31)-1</f>
        <v>6</v>
      </c>
      <c r="AT31" s="24">
        <f t="shared" si="53"/>
        <v>49</v>
      </c>
      <c r="AU31" s="24">
        <f t="shared" si="54"/>
        <v>18</v>
      </c>
      <c r="AV31" s="24">
        <f t="shared" si="55"/>
        <v>2</v>
      </c>
      <c r="AW31" s="14">
        <f t="shared" si="56"/>
        <v>18</v>
      </c>
      <c r="AX31" s="24" t="str">
        <f t="shared" si="57"/>
        <v>Istanbul</v>
      </c>
      <c r="AY31" s="24">
        <f t="shared" si="58"/>
        <v>73.7</v>
      </c>
      <c r="AZ31" s="185" t="str">
        <f t="shared" si="59"/>
        <v>||||||||||||||||||||||||||||||||||||</v>
      </c>
    </row>
    <row r="32" spans="1:52">
      <c r="A32" s="24">
        <v>19</v>
      </c>
      <c r="B32" s="24" t="str">
        <f>tblCities!C21</f>
        <v>Beijing </v>
      </c>
      <c r="C32" s="14">
        <f t="shared" si="20"/>
        <v>63.25</v>
      </c>
      <c r="D32" s="14">
        <f>RANK(C32,C$14:C$63)+COUNTIF(C$14:C32,C32)-1</f>
        <v>37</v>
      </c>
      <c r="E32" s="24">
        <f t="shared" si="21"/>
        <v>15</v>
      </c>
      <c r="F32" s="24">
        <f t="shared" si="22"/>
        <v>19</v>
      </c>
      <c r="G32" s="24">
        <f t="shared" si="23"/>
        <v>2</v>
      </c>
      <c r="H32" s="14">
        <f t="shared" si="24"/>
        <v>19</v>
      </c>
      <c r="I32" s="24" t="str">
        <f t="shared" si="25"/>
        <v>Washington DC</v>
      </c>
      <c r="J32" s="24">
        <f t="shared" si="26"/>
        <v>73.37</v>
      </c>
      <c r="K32" s="185" t="str">
        <f t="shared" si="27"/>
        <v>||||||||||||||||||||||||||||||||||||</v>
      </c>
      <c r="L32" s="185">
        <f>INDEX(tblCities!$H$3:$L$52,A32,$B$4)</f>
        <v>1</v>
      </c>
      <c r="N32" s="14">
        <f t="shared" si="28"/>
        <v>56.87</v>
      </c>
      <c r="O32" s="14">
        <f>RANK(N32,N$14:N$63)+COUNTIF(N$14:N32,N32)-1</f>
        <v>34</v>
      </c>
      <c r="P32" s="24">
        <f t="shared" si="29"/>
        <v>48</v>
      </c>
      <c r="Q32" s="24">
        <f t="shared" si="30"/>
        <v>19</v>
      </c>
      <c r="R32" s="24">
        <f t="shared" si="31"/>
        <v>2</v>
      </c>
      <c r="S32" s="14">
        <f t="shared" si="32"/>
        <v>19</v>
      </c>
      <c r="T32" s="24" t="str">
        <f t="shared" si="33"/>
        <v>Zurich</v>
      </c>
      <c r="U32" s="24">
        <f t="shared" si="34"/>
        <v>67.04</v>
      </c>
      <c r="V32" s="185" t="str">
        <f t="shared" si="35"/>
        <v>|||||||||||||||||||||||||||||||||</v>
      </c>
      <c r="X32" s="14">
        <f t="shared" si="36"/>
        <v>64.1</v>
      </c>
      <c r="Y32" s="14">
        <f>RANK(X32,X$14:X$63)+COUNTIF(X$14:X32,X32)-1</f>
        <v>30</v>
      </c>
      <c r="Z32" s="24">
        <f t="shared" si="37"/>
        <v>15</v>
      </c>
      <c r="AA32" s="24">
        <f t="shared" si="38"/>
        <v>19</v>
      </c>
      <c r="AB32" s="24">
        <f t="shared" si="39"/>
        <v>2</v>
      </c>
      <c r="AC32" s="14">
        <f t="shared" si="40"/>
        <v>19</v>
      </c>
      <c r="AD32" s="24" t="str">
        <f t="shared" si="41"/>
        <v>Washington DC</v>
      </c>
      <c r="AE32" s="24">
        <f t="shared" si="42"/>
        <v>72.53</v>
      </c>
      <c r="AF32" s="185" t="str">
        <f t="shared" si="43"/>
        <v>||||||||||||||||||||||||||||||||||||</v>
      </c>
      <c r="AH32" s="14">
        <f t="shared" si="44"/>
        <v>76.54</v>
      </c>
      <c r="AI32" s="14">
        <f>RANK(AH32,AH$14:AH$63)+COUNTIF(AH$14:AH32,AH32)-1</f>
        <v>32</v>
      </c>
      <c r="AJ32" s="24">
        <f t="shared" si="45"/>
        <v>6</v>
      </c>
      <c r="AK32" s="24">
        <f t="shared" si="46"/>
        <v>19</v>
      </c>
      <c r="AL32" s="24">
        <f t="shared" si="47"/>
        <v>2</v>
      </c>
      <c r="AM32" s="14">
        <f t="shared" si="48"/>
        <v>19</v>
      </c>
      <c r="AN32" s="24" t="str">
        <f t="shared" si="49"/>
        <v>Los Angeles</v>
      </c>
      <c r="AO32" s="24">
        <f t="shared" si="50"/>
        <v>83.72</v>
      </c>
      <c r="AP32" s="185" t="str">
        <f t="shared" si="51"/>
        <v>|||||||||||||||||||||||||||||||||||||||||</v>
      </c>
      <c r="AR32" s="14">
        <f t="shared" si="52"/>
        <v>55.51</v>
      </c>
      <c r="AS32" s="14">
        <f>RANK(AR32,AR$14:AR$63)+COUNTIF(AR$14:AR32,AR32)-1</f>
        <v>48</v>
      </c>
      <c r="AT32" s="24">
        <f t="shared" si="53"/>
        <v>31</v>
      </c>
      <c r="AU32" s="24">
        <f t="shared" si="54"/>
        <v>19</v>
      </c>
      <c r="AV32" s="24">
        <f t="shared" si="55"/>
        <v>2</v>
      </c>
      <c r="AW32" s="14">
        <f t="shared" si="56"/>
        <v>19</v>
      </c>
      <c r="AX32" s="24" t="str">
        <f t="shared" si="57"/>
        <v>Seoul</v>
      </c>
      <c r="AY32" s="24">
        <f t="shared" si="58"/>
        <v>73.62</v>
      </c>
      <c r="AZ32" s="185" t="str">
        <f t="shared" si="59"/>
        <v>||||||||||||||||||||||||||||||||||||</v>
      </c>
    </row>
    <row r="33" spans="1:52">
      <c r="A33" s="24">
        <v>20</v>
      </c>
      <c r="B33" s="24" t="str">
        <f>tblCities!C22</f>
        <v>Shanghai</v>
      </c>
      <c r="C33" s="14">
        <f t="shared" si="20"/>
        <v>65.93</v>
      </c>
      <c r="D33" s="14">
        <f>RANK(C33,C$14:C$63)+COUNTIF(C$14:C33,C33)-1</f>
        <v>30</v>
      </c>
      <c r="E33" s="24">
        <f t="shared" si="21"/>
        <v>41</v>
      </c>
      <c r="F33" s="24">
        <f t="shared" si="22"/>
        <v>20</v>
      </c>
      <c r="G33" s="24">
        <f t="shared" si="23"/>
        <v>2</v>
      </c>
      <c r="H33" s="14">
        <f t="shared" si="24"/>
        <v>20</v>
      </c>
      <c r="I33" s="24" t="str">
        <f t="shared" si="25"/>
        <v>Frankfurt</v>
      </c>
      <c r="J33" s="24">
        <f t="shared" si="26"/>
        <v>73.05</v>
      </c>
      <c r="K33" s="185" t="str">
        <f t="shared" si="27"/>
        <v>||||||||||||||||||||||||||||||||||||</v>
      </c>
      <c r="L33" s="185">
        <f>INDEX(tblCities!$H$3:$L$52,A33,$B$4)</f>
        <v>1</v>
      </c>
      <c r="N33" s="14">
        <f t="shared" si="28"/>
        <v>56.14</v>
      </c>
      <c r="O33" s="14">
        <f>RANK(N33,N$14:N$63)+COUNTIF(N$14:N33,N33)-1</f>
        <v>36</v>
      </c>
      <c r="P33" s="24">
        <f t="shared" si="29"/>
        <v>17</v>
      </c>
      <c r="Q33" s="24">
        <f t="shared" si="30"/>
        <v>20</v>
      </c>
      <c r="R33" s="24">
        <f t="shared" si="31"/>
        <v>2</v>
      </c>
      <c r="S33" s="14">
        <f t="shared" si="32"/>
        <v>20</v>
      </c>
      <c r="T33" s="24" t="str">
        <f t="shared" si="33"/>
        <v>Melbourne</v>
      </c>
      <c r="U33" s="24">
        <f t="shared" si="34"/>
        <v>65.42</v>
      </c>
      <c r="V33" s="185" t="str">
        <f t="shared" si="35"/>
        <v>||||||||||||||||||||||||||||||||</v>
      </c>
      <c r="X33" s="14">
        <f t="shared" si="36"/>
        <v>63.31</v>
      </c>
      <c r="Y33" s="14">
        <f>RANK(X33,X$14:X$63)+COUNTIF(X$14:X33,X33)-1</f>
        <v>31</v>
      </c>
      <c r="Z33" s="24">
        <f t="shared" si="37"/>
        <v>9</v>
      </c>
      <c r="AA33" s="24">
        <f t="shared" si="38"/>
        <v>20</v>
      </c>
      <c r="AB33" s="24">
        <f t="shared" si="39"/>
        <v>2</v>
      </c>
      <c r="AC33" s="14">
        <f t="shared" si="40"/>
        <v>20</v>
      </c>
      <c r="AD33" s="24" t="str">
        <f t="shared" si="41"/>
        <v>Montreal</v>
      </c>
      <c r="AE33" s="24">
        <f t="shared" si="42"/>
        <v>72.4</v>
      </c>
      <c r="AF33" s="185" t="str">
        <f t="shared" si="43"/>
        <v>||||||||||||||||||||||||||||||||||||</v>
      </c>
      <c r="AH33" s="14">
        <f t="shared" si="44"/>
        <v>76.63</v>
      </c>
      <c r="AI33" s="14">
        <f>RANK(AH33,AH$14:AH$63)+COUNTIF(AH$14:AH33,AH33)-1</f>
        <v>30</v>
      </c>
      <c r="AJ33" s="24">
        <f t="shared" si="45"/>
        <v>41</v>
      </c>
      <c r="AK33" s="24">
        <f t="shared" si="46"/>
        <v>20</v>
      </c>
      <c r="AL33" s="24">
        <f t="shared" si="47"/>
        <v>2</v>
      </c>
      <c r="AM33" s="14">
        <f t="shared" si="48"/>
        <v>20</v>
      </c>
      <c r="AN33" s="24" t="str">
        <f t="shared" si="49"/>
        <v>Frankfurt</v>
      </c>
      <c r="AO33" s="24">
        <f t="shared" si="50"/>
        <v>82.79</v>
      </c>
      <c r="AP33" s="185" t="str">
        <f t="shared" si="51"/>
        <v>|||||||||||||||||||||||||||||||||||||||||</v>
      </c>
      <c r="AR33" s="14">
        <f t="shared" si="52"/>
        <v>67.66</v>
      </c>
      <c r="AS33" s="14">
        <f>RANK(AR33,AR$14:AR$63)+COUNTIF(AR$14:AR33,AR33)-1</f>
        <v>30</v>
      </c>
      <c r="AT33" s="24">
        <f t="shared" si="53"/>
        <v>24</v>
      </c>
      <c r="AU33" s="24">
        <f t="shared" si="54"/>
        <v>20</v>
      </c>
      <c r="AV33" s="24">
        <f t="shared" si="55"/>
        <v>2</v>
      </c>
      <c r="AW33" s="14">
        <f t="shared" si="56"/>
        <v>20</v>
      </c>
      <c r="AX33" s="24" t="str">
        <f t="shared" si="57"/>
        <v>Mumbai</v>
      </c>
      <c r="AY33" s="24">
        <f t="shared" si="58"/>
        <v>73.61</v>
      </c>
      <c r="AZ33" s="185" t="str">
        <f t="shared" si="59"/>
        <v>||||||||||||||||||||||||||||||||||||</v>
      </c>
    </row>
    <row r="34" spans="1:52">
      <c r="A34" s="24">
        <v>21</v>
      </c>
      <c r="B34" s="24" t="str">
        <f>tblCities!C23</f>
        <v>Shenzhen</v>
      </c>
      <c r="C34" s="14">
        <f t="shared" si="20"/>
        <v>65.76</v>
      </c>
      <c r="D34" s="14">
        <f>RANK(C34,C$14:C$63)+COUNTIF(C$14:C34,C34)-1</f>
        <v>32</v>
      </c>
      <c r="E34" s="24">
        <f t="shared" si="21"/>
        <v>46</v>
      </c>
      <c r="F34" s="24">
        <f t="shared" si="22"/>
        <v>21</v>
      </c>
      <c r="G34" s="24">
        <f t="shared" si="23"/>
        <v>2</v>
      </c>
      <c r="H34" s="14">
        <f t="shared" si="24"/>
        <v>21</v>
      </c>
      <c r="I34" s="24" t="str">
        <f t="shared" si="25"/>
        <v>Madrid</v>
      </c>
      <c r="J34" s="24">
        <f t="shared" si="26"/>
        <v>72.35</v>
      </c>
      <c r="K34" s="185" t="str">
        <f t="shared" si="27"/>
        <v>||||||||||||||||||||||||||||||||||||</v>
      </c>
      <c r="L34" s="185">
        <f>INDEX(tblCities!$H$3:$L$52,A34,$B$4)</f>
        <v>1</v>
      </c>
      <c r="N34" s="14">
        <f t="shared" si="28"/>
        <v>62.74</v>
      </c>
      <c r="O34" s="14">
        <f>RANK(N34,N$14:N$63)+COUNTIF(N$14:N34,N34)-1</f>
        <v>25</v>
      </c>
      <c r="P34" s="24">
        <f t="shared" si="29"/>
        <v>32</v>
      </c>
      <c r="Q34" s="24">
        <f t="shared" si="30"/>
        <v>21</v>
      </c>
      <c r="R34" s="24">
        <f t="shared" si="31"/>
        <v>2</v>
      </c>
      <c r="S34" s="14">
        <f t="shared" si="32"/>
        <v>21</v>
      </c>
      <c r="T34" s="24" t="str">
        <f t="shared" si="33"/>
        <v>Taipei</v>
      </c>
      <c r="U34" s="24">
        <f t="shared" si="34"/>
        <v>65.11</v>
      </c>
      <c r="V34" s="185" t="str">
        <f t="shared" si="35"/>
        <v>||||||||||||||||||||||||||||||||</v>
      </c>
      <c r="X34" s="14">
        <f t="shared" si="36"/>
        <v>61.85</v>
      </c>
      <c r="Y34" s="14">
        <f>RANK(X34,X$14:X$63)+COUNTIF(X$14:X34,X34)-1</f>
        <v>32</v>
      </c>
      <c r="Z34" s="24">
        <f t="shared" si="37"/>
        <v>8</v>
      </c>
      <c r="AA34" s="24">
        <f t="shared" si="38"/>
        <v>21</v>
      </c>
      <c r="AB34" s="24">
        <f t="shared" si="39"/>
        <v>2</v>
      </c>
      <c r="AC34" s="14">
        <f t="shared" si="40"/>
        <v>21</v>
      </c>
      <c r="AD34" s="24" t="str">
        <f t="shared" si="41"/>
        <v>Toronto</v>
      </c>
      <c r="AE34" s="24">
        <f t="shared" si="42"/>
        <v>70.8</v>
      </c>
      <c r="AF34" s="185" t="str">
        <f t="shared" si="43"/>
        <v>|||||||||||||||||||||||||||||||||||</v>
      </c>
      <c r="AH34" s="14">
        <f t="shared" si="44"/>
        <v>76.5</v>
      </c>
      <c r="AI34" s="14">
        <f>RANK(AH34,AH$14:AH$63)+COUNTIF(AH$14:AH34,AH34)-1</f>
        <v>34</v>
      </c>
      <c r="AJ34" s="24">
        <f t="shared" si="45"/>
        <v>1</v>
      </c>
      <c r="AK34" s="24">
        <f t="shared" si="46"/>
        <v>21</v>
      </c>
      <c r="AL34" s="24">
        <f t="shared" si="47"/>
        <v>2</v>
      </c>
      <c r="AM34" s="14">
        <f t="shared" si="48"/>
        <v>21</v>
      </c>
      <c r="AN34" s="24" t="str">
        <f t="shared" si="49"/>
        <v>Stockholm</v>
      </c>
      <c r="AO34" s="24">
        <f t="shared" si="50"/>
        <v>81.92</v>
      </c>
      <c r="AP34" s="185" t="str">
        <f t="shared" si="51"/>
        <v>||||||||||||||||||||||||||||||||||||||||</v>
      </c>
      <c r="AR34" s="14">
        <f t="shared" si="52"/>
        <v>61.96</v>
      </c>
      <c r="AS34" s="14">
        <f>RANK(AR34,AR$14:AR$63)+COUNTIF(AR$14:AR34,AR34)-1</f>
        <v>38</v>
      </c>
      <c r="AT34" s="24">
        <f t="shared" si="53"/>
        <v>7</v>
      </c>
      <c r="AU34" s="24">
        <f t="shared" si="54"/>
        <v>21</v>
      </c>
      <c r="AV34" s="24">
        <f t="shared" si="55"/>
        <v>2</v>
      </c>
      <c r="AW34" s="14">
        <f t="shared" si="56"/>
        <v>21</v>
      </c>
      <c r="AX34" s="24" t="str">
        <f t="shared" si="57"/>
        <v>San Francisco</v>
      </c>
      <c r="AY34" s="24">
        <f t="shared" si="58"/>
        <v>72.96</v>
      </c>
      <c r="AZ34" s="185" t="str">
        <f t="shared" si="59"/>
        <v>||||||||||||||||||||||||||||||||||||</v>
      </c>
    </row>
    <row r="35" spans="1:52">
      <c r="A35" s="24">
        <v>22</v>
      </c>
      <c r="B35" s="24" t="str">
        <f>tblCities!C24</f>
        <v>Guangzhou</v>
      </c>
      <c r="C35" s="14">
        <f t="shared" si="20"/>
        <v>62.79</v>
      </c>
      <c r="D35" s="14">
        <f>RANK(C35,C$14:C$63)+COUNTIF(C$14:C35,C35)-1</f>
        <v>38</v>
      </c>
      <c r="E35" s="24">
        <f t="shared" si="21"/>
        <v>39</v>
      </c>
      <c r="F35" s="24">
        <f t="shared" si="22"/>
        <v>22</v>
      </c>
      <c r="G35" s="24">
        <f t="shared" si="23"/>
        <v>2</v>
      </c>
      <c r="H35" s="14">
        <f t="shared" si="24"/>
        <v>22</v>
      </c>
      <c r="I35" s="24" t="str">
        <f t="shared" si="25"/>
        <v>Brussels</v>
      </c>
      <c r="J35" s="24">
        <f t="shared" si="26"/>
        <v>71.72</v>
      </c>
      <c r="K35" s="185" t="str">
        <f t="shared" si="27"/>
        <v>|||||||||||||||||||||||||||||||||||</v>
      </c>
      <c r="L35" s="185">
        <f>INDEX(tblCities!$H$3:$L$52,A35,$B$4)</f>
        <v>1</v>
      </c>
      <c r="N35" s="14">
        <f t="shared" si="28"/>
        <v>55.14</v>
      </c>
      <c r="O35" s="14">
        <f>RANK(N35,N$14:N$63)+COUNTIF(N$14:N35,N35)-1</f>
        <v>37</v>
      </c>
      <c r="P35" s="24">
        <f t="shared" si="29"/>
        <v>39</v>
      </c>
      <c r="Q35" s="24">
        <f t="shared" si="30"/>
        <v>22</v>
      </c>
      <c r="R35" s="24">
        <f t="shared" si="31"/>
        <v>2</v>
      </c>
      <c r="S35" s="14">
        <f t="shared" si="32"/>
        <v>22</v>
      </c>
      <c r="T35" s="24" t="str">
        <f t="shared" si="33"/>
        <v>Brussels</v>
      </c>
      <c r="U35" s="24">
        <f t="shared" si="34"/>
        <v>64.6</v>
      </c>
      <c r="V35" s="185" t="str">
        <f t="shared" si="35"/>
        <v>||||||||||||||||||||||||||||||||</v>
      </c>
      <c r="X35" s="14">
        <f t="shared" si="36"/>
        <v>60.07</v>
      </c>
      <c r="Y35" s="14">
        <f>RANK(X35,X$14:X$63)+COUNTIF(X$14:X35,X35)-1</f>
        <v>37</v>
      </c>
      <c r="Z35" s="24">
        <f t="shared" si="37"/>
        <v>50</v>
      </c>
      <c r="AA35" s="24">
        <f t="shared" si="38"/>
        <v>22</v>
      </c>
      <c r="AB35" s="24">
        <f t="shared" si="39"/>
        <v>2</v>
      </c>
      <c r="AC35" s="14">
        <f t="shared" si="40"/>
        <v>22</v>
      </c>
      <c r="AD35" s="24" t="str">
        <f t="shared" si="41"/>
        <v>London</v>
      </c>
      <c r="AE35" s="24">
        <f t="shared" si="42"/>
        <v>69.78</v>
      </c>
      <c r="AF35" s="185" t="str">
        <f t="shared" si="43"/>
        <v>||||||||||||||||||||||||||||||||||</v>
      </c>
      <c r="AH35" s="14">
        <f t="shared" si="44"/>
        <v>76.57</v>
      </c>
      <c r="AI35" s="14">
        <f>RANK(AH35,AH$14:AH$63)+COUNTIF(AH$14:AH35,AH35)-1</f>
        <v>31</v>
      </c>
      <c r="AJ35" s="24">
        <f t="shared" si="45"/>
        <v>32</v>
      </c>
      <c r="AK35" s="24">
        <f t="shared" si="46"/>
        <v>22</v>
      </c>
      <c r="AL35" s="24">
        <f t="shared" si="47"/>
        <v>2</v>
      </c>
      <c r="AM35" s="14">
        <f t="shared" si="48"/>
        <v>22</v>
      </c>
      <c r="AN35" s="24" t="str">
        <f t="shared" si="49"/>
        <v>Taipei</v>
      </c>
      <c r="AO35" s="24">
        <f t="shared" si="50"/>
        <v>79.25</v>
      </c>
      <c r="AP35" s="185" t="str">
        <f t="shared" si="51"/>
        <v>|||||||||||||||||||||||||||||||||||||||</v>
      </c>
      <c r="AR35" s="14">
        <f t="shared" si="52"/>
        <v>59.37</v>
      </c>
      <c r="AS35" s="14">
        <f>RANK(AR35,AR$14:AR$63)+COUNTIF(AR$14:AR35,AR35)-1</f>
        <v>44</v>
      </c>
      <c r="AT35" s="24">
        <f t="shared" si="53"/>
        <v>25</v>
      </c>
      <c r="AU35" s="24">
        <f t="shared" si="54"/>
        <v>22</v>
      </c>
      <c r="AV35" s="24">
        <f t="shared" si="55"/>
        <v>2</v>
      </c>
      <c r="AW35" s="14">
        <f t="shared" si="56"/>
        <v>22</v>
      </c>
      <c r="AX35" s="24" t="str">
        <f t="shared" si="57"/>
        <v>Delhi</v>
      </c>
      <c r="AY35" s="24">
        <f t="shared" si="58"/>
        <v>72.7</v>
      </c>
      <c r="AZ35" s="185" t="str">
        <f t="shared" si="59"/>
        <v>||||||||||||||||||||||||||||||||||||</v>
      </c>
    </row>
    <row r="36" spans="1:52">
      <c r="A36" s="24">
        <v>23</v>
      </c>
      <c r="B36" s="24" t="str">
        <f>tblCities!C25</f>
        <v>Tianjin</v>
      </c>
      <c r="C36" s="14">
        <f t="shared" si="20"/>
        <v>63.55</v>
      </c>
      <c r="D36" s="14">
        <f>RANK(C36,C$14:C$63)+COUNTIF(C$14:C36,C36)-1</f>
        <v>34</v>
      </c>
      <c r="E36" s="24">
        <f t="shared" si="21"/>
        <v>40</v>
      </c>
      <c r="F36" s="24">
        <f t="shared" si="22"/>
        <v>23</v>
      </c>
      <c r="G36" s="24">
        <f t="shared" si="23"/>
        <v>2</v>
      </c>
      <c r="H36" s="14">
        <f t="shared" si="24"/>
        <v>23</v>
      </c>
      <c r="I36" s="24" t="str">
        <f t="shared" si="25"/>
        <v>Paris</v>
      </c>
      <c r="J36" s="24">
        <f t="shared" si="26"/>
        <v>71.21</v>
      </c>
      <c r="K36" s="185" t="str">
        <f t="shared" si="27"/>
        <v>|||||||||||||||||||||||||||||||||||</v>
      </c>
      <c r="L36" s="185">
        <f>INDEX(tblCities!$H$3:$L$52,A36,$B$4)</f>
        <v>1</v>
      </c>
      <c r="N36" s="14">
        <f t="shared" si="28"/>
        <v>54.26</v>
      </c>
      <c r="O36" s="14">
        <f>RANK(N36,N$14:N$63)+COUNTIF(N$14:N36,N36)-1</f>
        <v>41</v>
      </c>
      <c r="P36" s="24">
        <f t="shared" si="29"/>
        <v>35</v>
      </c>
      <c r="Q36" s="24">
        <f t="shared" si="30"/>
        <v>23</v>
      </c>
      <c r="R36" s="24">
        <f t="shared" si="31"/>
        <v>2</v>
      </c>
      <c r="S36" s="14">
        <f t="shared" si="32"/>
        <v>23</v>
      </c>
      <c r="T36" s="24" t="str">
        <f t="shared" si="33"/>
        <v>Kuwait City</v>
      </c>
      <c r="U36" s="24">
        <f t="shared" si="34"/>
        <v>64.21</v>
      </c>
      <c r="V36" s="185" t="str">
        <f t="shared" si="35"/>
        <v>||||||||||||||||||||||||||||||||</v>
      </c>
      <c r="X36" s="14">
        <f t="shared" si="36"/>
        <v>60.93</v>
      </c>
      <c r="Y36" s="14">
        <f>RANK(X36,X$14:X$63)+COUNTIF(X$14:X36,X36)-1</f>
        <v>34</v>
      </c>
      <c r="Z36" s="24">
        <f t="shared" si="37"/>
        <v>10</v>
      </c>
      <c r="AA36" s="24">
        <f t="shared" si="38"/>
        <v>23</v>
      </c>
      <c r="AB36" s="24">
        <f t="shared" si="39"/>
        <v>2</v>
      </c>
      <c r="AC36" s="14">
        <f t="shared" si="40"/>
        <v>23</v>
      </c>
      <c r="AD36" s="24" t="str">
        <f t="shared" si="41"/>
        <v>Chicago</v>
      </c>
      <c r="AE36" s="24">
        <f t="shared" si="42"/>
        <v>69.71</v>
      </c>
      <c r="AF36" s="185" t="str">
        <f t="shared" si="43"/>
        <v>||||||||||||||||||||||||||||||||||</v>
      </c>
      <c r="AH36" s="14">
        <f t="shared" si="44"/>
        <v>76.53</v>
      </c>
      <c r="AI36" s="14">
        <f>RANK(AH36,AH$14:AH$63)+COUNTIF(AH$14:AH36,AH36)-1</f>
        <v>33</v>
      </c>
      <c r="AJ36" s="24">
        <f t="shared" si="45"/>
        <v>43</v>
      </c>
      <c r="AK36" s="24">
        <f t="shared" si="46"/>
        <v>23</v>
      </c>
      <c r="AL36" s="24">
        <f t="shared" si="47"/>
        <v>2</v>
      </c>
      <c r="AM36" s="14">
        <f t="shared" si="48"/>
        <v>23</v>
      </c>
      <c r="AN36" s="24" t="str">
        <f t="shared" si="49"/>
        <v>Milan</v>
      </c>
      <c r="AO36" s="24">
        <f t="shared" si="50"/>
        <v>78.91</v>
      </c>
      <c r="AP36" s="185" t="str">
        <f t="shared" si="51"/>
        <v>|||||||||||||||||||||||||||||||||||||||</v>
      </c>
      <c r="AR36" s="14">
        <f t="shared" si="52"/>
        <v>62.46</v>
      </c>
      <c r="AS36" s="14">
        <f>RANK(AR36,AR$14:AR$63)+COUNTIF(AR$14:AR36,AR36)-1</f>
        <v>35</v>
      </c>
      <c r="AT36" s="24">
        <f t="shared" si="53"/>
        <v>6</v>
      </c>
      <c r="AU36" s="24">
        <f t="shared" si="54"/>
        <v>23</v>
      </c>
      <c r="AV36" s="24">
        <f t="shared" si="55"/>
        <v>2</v>
      </c>
      <c r="AW36" s="14">
        <f t="shared" si="56"/>
        <v>23</v>
      </c>
      <c r="AX36" s="24" t="str">
        <f t="shared" si="57"/>
        <v>Los Angeles</v>
      </c>
      <c r="AY36" s="24">
        <f t="shared" si="58"/>
        <v>71.66</v>
      </c>
      <c r="AZ36" s="185" t="str">
        <f t="shared" si="59"/>
        <v>|||||||||||||||||||||||||||||||||||</v>
      </c>
    </row>
    <row r="37" spans="1:52">
      <c r="A37" s="24">
        <v>24</v>
      </c>
      <c r="B37" s="24" t="str">
        <f>tblCities!C26</f>
        <v>Mumbai</v>
      </c>
      <c r="C37" s="14">
        <f t="shared" si="20"/>
        <v>60.72</v>
      </c>
      <c r="D37" s="14">
        <f>RANK(C37,C$14:C$63)+COUNTIF(C$14:C37,C37)-1</f>
        <v>44</v>
      </c>
      <c r="E37" s="24">
        <f t="shared" si="21"/>
        <v>31</v>
      </c>
      <c r="F37" s="24">
        <f t="shared" si="22"/>
        <v>24</v>
      </c>
      <c r="G37" s="24">
        <f t="shared" si="23"/>
        <v>2</v>
      </c>
      <c r="H37" s="14">
        <f t="shared" si="24"/>
        <v>24</v>
      </c>
      <c r="I37" s="24" t="str">
        <f t="shared" si="25"/>
        <v>Seoul</v>
      </c>
      <c r="J37" s="24">
        <f t="shared" si="26"/>
        <v>70.9</v>
      </c>
      <c r="K37" s="185" t="str">
        <f t="shared" si="27"/>
        <v>|||||||||||||||||||||||||||||||||||</v>
      </c>
      <c r="L37" s="185">
        <f>INDEX(tblCities!$H$3:$L$52,A37,$B$4)</f>
        <v>1</v>
      </c>
      <c r="N37" s="14">
        <f t="shared" si="28"/>
        <v>68.07</v>
      </c>
      <c r="O37" s="14">
        <f>RANK(N37,N$14:N$63)+COUNTIF(N$14:N37,N37)-1</f>
        <v>18</v>
      </c>
      <c r="P37" s="24">
        <f t="shared" si="29"/>
        <v>25</v>
      </c>
      <c r="Q37" s="24">
        <f t="shared" si="30"/>
        <v>24</v>
      </c>
      <c r="R37" s="24">
        <f t="shared" si="31"/>
        <v>2</v>
      </c>
      <c r="S37" s="14">
        <f t="shared" si="32"/>
        <v>24</v>
      </c>
      <c r="T37" s="24" t="str">
        <f t="shared" si="33"/>
        <v>Delhi</v>
      </c>
      <c r="U37" s="24">
        <f t="shared" si="34"/>
        <v>63.33</v>
      </c>
      <c r="V37" s="185" t="str">
        <f t="shared" si="35"/>
        <v>|||||||||||||||||||||||||||||||</v>
      </c>
      <c r="X37" s="14">
        <f t="shared" si="36"/>
        <v>45.31</v>
      </c>
      <c r="Y37" s="14">
        <f>RANK(X37,X$14:X$63)+COUNTIF(X$14:X37,X37)-1</f>
        <v>50</v>
      </c>
      <c r="Z37" s="24">
        <f t="shared" si="37"/>
        <v>45</v>
      </c>
      <c r="AA37" s="24">
        <f t="shared" si="38"/>
        <v>24</v>
      </c>
      <c r="AB37" s="24">
        <f t="shared" si="39"/>
        <v>2</v>
      </c>
      <c r="AC37" s="14">
        <f t="shared" si="40"/>
        <v>24</v>
      </c>
      <c r="AD37" s="24" t="str">
        <f t="shared" si="41"/>
        <v>Moscow</v>
      </c>
      <c r="AE37" s="24">
        <f t="shared" si="42"/>
        <v>68.93</v>
      </c>
      <c r="AF37" s="185" t="str">
        <f t="shared" si="43"/>
        <v>||||||||||||||||||||||||||||||||||</v>
      </c>
      <c r="AH37" s="14">
        <f t="shared" si="44"/>
        <v>55.89</v>
      </c>
      <c r="AI37" s="14">
        <f>RANK(AH37,AH$14:AH$63)+COUNTIF(AH$14:AH37,AH37)-1</f>
        <v>47</v>
      </c>
      <c r="AJ37" s="24">
        <f t="shared" si="45"/>
        <v>13</v>
      </c>
      <c r="AK37" s="24">
        <f t="shared" si="46"/>
        <v>24</v>
      </c>
      <c r="AL37" s="24">
        <f t="shared" si="47"/>
        <v>2</v>
      </c>
      <c r="AM37" s="14">
        <f t="shared" si="48"/>
        <v>24</v>
      </c>
      <c r="AN37" s="24" t="str">
        <f t="shared" si="49"/>
        <v>Santiago</v>
      </c>
      <c r="AO37" s="24">
        <f t="shared" si="50"/>
        <v>78.83</v>
      </c>
      <c r="AP37" s="185" t="str">
        <f t="shared" si="51"/>
        <v>|||||||||||||||||||||||||||||||||||||||</v>
      </c>
      <c r="AR37" s="14">
        <f t="shared" si="52"/>
        <v>73.61</v>
      </c>
      <c r="AS37" s="14">
        <f>RANK(AR37,AR$14:AR$63)+COUNTIF(AR$14:AR37,AR37)-1</f>
        <v>20</v>
      </c>
      <c r="AT37" s="24">
        <f t="shared" si="53"/>
        <v>40</v>
      </c>
      <c r="AU37" s="24">
        <f t="shared" si="54"/>
        <v>24</v>
      </c>
      <c r="AV37" s="24">
        <f t="shared" si="55"/>
        <v>2</v>
      </c>
      <c r="AW37" s="14">
        <f t="shared" si="56"/>
        <v>24</v>
      </c>
      <c r="AX37" s="24" t="str">
        <f t="shared" si="57"/>
        <v>Paris</v>
      </c>
      <c r="AY37" s="24">
        <f t="shared" si="58"/>
        <v>71.29</v>
      </c>
      <c r="AZ37" s="185" t="str">
        <f t="shared" si="59"/>
        <v>|||||||||||||||||||||||||||||||||||</v>
      </c>
    </row>
    <row r="38" spans="1:52">
      <c r="A38" s="24">
        <v>25</v>
      </c>
      <c r="B38" s="24" t="str">
        <f>tblCities!C27</f>
        <v>Delhi</v>
      </c>
      <c r="C38" s="14">
        <f t="shared" si="20"/>
        <v>61.88</v>
      </c>
      <c r="D38" s="14">
        <f>RANK(C38,C$14:C$63)+COUNTIF(C$14:C38,C38)-1</f>
        <v>42</v>
      </c>
      <c r="E38" s="24">
        <f t="shared" si="21"/>
        <v>38</v>
      </c>
      <c r="F38" s="24">
        <f t="shared" si="22"/>
        <v>25</v>
      </c>
      <c r="G38" s="24">
        <f t="shared" si="23"/>
        <v>3</v>
      </c>
      <c r="H38" s="14">
        <f t="shared" si="24"/>
        <v>25</v>
      </c>
      <c r="I38" s="24" t="str">
        <f t="shared" si="25"/>
        <v>Abu Dhabi</v>
      </c>
      <c r="J38" s="24">
        <f t="shared" si="26"/>
        <v>69.83</v>
      </c>
      <c r="K38" s="185" t="str">
        <f t="shared" si="27"/>
        <v>||||||||||||||||||||||||||||||||||</v>
      </c>
      <c r="L38" s="185">
        <f>INDEX(tblCities!$H$3:$L$52,A38,$B$4)</f>
        <v>1</v>
      </c>
      <c r="N38" s="14">
        <f t="shared" si="28"/>
        <v>63.33</v>
      </c>
      <c r="O38" s="14">
        <f>RANK(N38,N$14:N$63)+COUNTIF(N$14:N38,N38)-1</f>
        <v>24</v>
      </c>
      <c r="P38" s="24">
        <f t="shared" si="29"/>
        <v>21</v>
      </c>
      <c r="Q38" s="24">
        <f t="shared" si="30"/>
        <v>25</v>
      </c>
      <c r="R38" s="24">
        <f t="shared" si="31"/>
        <v>2</v>
      </c>
      <c r="S38" s="14">
        <f t="shared" si="32"/>
        <v>25</v>
      </c>
      <c r="T38" s="24" t="str">
        <f t="shared" si="33"/>
        <v>Shenzhen</v>
      </c>
      <c r="U38" s="24">
        <f t="shared" si="34"/>
        <v>62.74</v>
      </c>
      <c r="V38" s="185" t="str">
        <f t="shared" si="35"/>
        <v>|||||||||||||||||||||||||||||||</v>
      </c>
      <c r="X38" s="14">
        <f t="shared" si="36"/>
        <v>53.76</v>
      </c>
      <c r="Y38" s="14">
        <f>RANK(X38,X$14:X$63)+COUNTIF(X$14:X38,X38)-1</f>
        <v>42</v>
      </c>
      <c r="Z38" s="24">
        <f t="shared" si="37"/>
        <v>42</v>
      </c>
      <c r="AA38" s="24">
        <f t="shared" si="38"/>
        <v>25</v>
      </c>
      <c r="AB38" s="24">
        <f t="shared" si="39"/>
        <v>2</v>
      </c>
      <c r="AC38" s="14">
        <f t="shared" si="40"/>
        <v>25</v>
      </c>
      <c r="AD38" s="24" t="str">
        <f t="shared" si="41"/>
        <v>Rome</v>
      </c>
      <c r="AE38" s="24">
        <f t="shared" si="42"/>
        <v>67.13</v>
      </c>
      <c r="AF38" s="185" t="str">
        <f t="shared" si="43"/>
        <v>|||||||||||||||||||||||||||||||||</v>
      </c>
      <c r="AH38" s="14">
        <f t="shared" si="44"/>
        <v>57.71</v>
      </c>
      <c r="AI38" s="14">
        <f>RANK(AH38,AH$14:AH$63)+COUNTIF(AH$14:AH38,AH38)-1</f>
        <v>46</v>
      </c>
      <c r="AJ38" s="24">
        <f t="shared" si="45"/>
        <v>50</v>
      </c>
      <c r="AK38" s="24">
        <f t="shared" si="46"/>
        <v>25</v>
      </c>
      <c r="AL38" s="24">
        <f t="shared" si="47"/>
        <v>2</v>
      </c>
      <c r="AM38" s="14">
        <f t="shared" si="48"/>
        <v>25</v>
      </c>
      <c r="AN38" s="24" t="str">
        <f t="shared" si="49"/>
        <v>London</v>
      </c>
      <c r="AO38" s="24">
        <f t="shared" si="50"/>
        <v>78.78</v>
      </c>
      <c r="AP38" s="185" t="str">
        <f t="shared" si="51"/>
        <v>|||||||||||||||||||||||||||||||||||||||</v>
      </c>
      <c r="AR38" s="14">
        <f t="shared" si="52"/>
        <v>72.7</v>
      </c>
      <c r="AS38" s="14">
        <f>RANK(AR38,AR$14:AR$63)+COUNTIF(AR$14:AR38,AR38)-1</f>
        <v>22</v>
      </c>
      <c r="AT38" s="24">
        <f t="shared" si="53"/>
        <v>10</v>
      </c>
      <c r="AU38" s="24">
        <f t="shared" si="54"/>
        <v>25</v>
      </c>
      <c r="AV38" s="24">
        <f t="shared" si="55"/>
        <v>2</v>
      </c>
      <c r="AW38" s="14">
        <f t="shared" si="56"/>
        <v>25</v>
      </c>
      <c r="AX38" s="24" t="str">
        <f t="shared" si="57"/>
        <v>Chicago</v>
      </c>
      <c r="AY38" s="24">
        <f t="shared" si="58"/>
        <v>71.27</v>
      </c>
      <c r="AZ38" s="185" t="str">
        <f t="shared" si="59"/>
        <v>|||||||||||||||||||||||||||||||||||</v>
      </c>
    </row>
    <row r="39" spans="1:52">
      <c r="A39" s="24">
        <v>26</v>
      </c>
      <c r="B39" s="24" t="str">
        <f>tblCities!C28</f>
        <v>Jakarta</v>
      </c>
      <c r="C39" s="14">
        <f t="shared" si="20"/>
        <v>53.71</v>
      </c>
      <c r="D39" s="14">
        <f>RANK(C39,C$14:C$63)+COUNTIF(C$14:C39,C39)-1</f>
        <v>50</v>
      </c>
      <c r="E39" s="24">
        <f t="shared" si="21"/>
        <v>43</v>
      </c>
      <c r="F39" s="24">
        <f t="shared" si="22"/>
        <v>26</v>
      </c>
      <c r="G39" s="24">
        <f t="shared" si="23"/>
        <v>2</v>
      </c>
      <c r="H39" s="14">
        <f t="shared" si="24"/>
        <v>26</v>
      </c>
      <c r="I39" s="24" t="str">
        <f t="shared" si="25"/>
        <v>Milan</v>
      </c>
      <c r="J39" s="24">
        <f t="shared" si="26"/>
        <v>69.64</v>
      </c>
      <c r="K39" s="185" t="str">
        <f t="shared" si="27"/>
        <v>||||||||||||||||||||||||||||||||||</v>
      </c>
      <c r="L39" s="185">
        <f>INDEX(tblCities!$H$3:$L$52,A39,$B$4)</f>
        <v>1</v>
      </c>
      <c r="N39" s="14">
        <f t="shared" si="28"/>
        <v>48.48</v>
      </c>
      <c r="O39" s="14">
        <f>RANK(N39,N$14:N$63)+COUNTIF(N$14:N39,N39)-1</f>
        <v>48</v>
      </c>
      <c r="P39" s="24">
        <f t="shared" si="29"/>
        <v>43</v>
      </c>
      <c r="Q39" s="24">
        <f t="shared" si="30"/>
        <v>26</v>
      </c>
      <c r="R39" s="24">
        <f t="shared" si="31"/>
        <v>2</v>
      </c>
      <c r="S39" s="14">
        <f t="shared" si="32"/>
        <v>26</v>
      </c>
      <c r="T39" s="24" t="str">
        <f t="shared" si="33"/>
        <v>Milan</v>
      </c>
      <c r="U39" s="24">
        <f t="shared" si="34"/>
        <v>62.62</v>
      </c>
      <c r="V39" s="185" t="str">
        <f t="shared" si="35"/>
        <v>|||||||||||||||||||||||||||||||</v>
      </c>
      <c r="X39" s="14">
        <f t="shared" si="36"/>
        <v>53.11</v>
      </c>
      <c r="Y39" s="14">
        <f>RANK(X39,X$14:X$63)+COUNTIF(X$14:X39,X39)-1</f>
        <v>44</v>
      </c>
      <c r="Z39" s="24">
        <f t="shared" si="37"/>
        <v>6</v>
      </c>
      <c r="AA39" s="24">
        <f t="shared" si="38"/>
        <v>26</v>
      </c>
      <c r="AB39" s="24">
        <f t="shared" si="39"/>
        <v>2</v>
      </c>
      <c r="AC39" s="14">
        <f t="shared" si="40"/>
        <v>26</v>
      </c>
      <c r="AD39" s="24" t="str">
        <f t="shared" si="41"/>
        <v>Los Angeles</v>
      </c>
      <c r="AE39" s="24">
        <f t="shared" si="42"/>
        <v>66.57</v>
      </c>
      <c r="AF39" s="185" t="str">
        <f t="shared" si="43"/>
        <v>|||||||||||||||||||||||||||||||||</v>
      </c>
      <c r="AH39" s="14">
        <f t="shared" si="44"/>
        <v>54.02</v>
      </c>
      <c r="AI39" s="14">
        <f>RANK(AH39,AH$14:AH$63)+COUNTIF(AH$14:AH39,AH39)-1</f>
        <v>48</v>
      </c>
      <c r="AJ39" s="24">
        <f t="shared" si="45"/>
        <v>40</v>
      </c>
      <c r="AK39" s="24">
        <f t="shared" si="46"/>
        <v>26</v>
      </c>
      <c r="AL39" s="24">
        <f t="shared" si="47"/>
        <v>2</v>
      </c>
      <c r="AM39" s="14">
        <f t="shared" si="48"/>
        <v>26</v>
      </c>
      <c r="AN39" s="24" t="str">
        <f t="shared" si="49"/>
        <v>Paris</v>
      </c>
      <c r="AO39" s="24">
        <f t="shared" si="50"/>
        <v>78.22</v>
      </c>
      <c r="AP39" s="185" t="str">
        <f t="shared" si="51"/>
        <v>|||||||||||||||||||||||||||||||||||||||</v>
      </c>
      <c r="AR39" s="14">
        <f t="shared" si="52"/>
        <v>59.23</v>
      </c>
      <c r="AS39" s="14">
        <f>RANK(AR39,AR$14:AR$63)+COUNTIF(AR$14:AR39,AR39)-1</f>
        <v>45</v>
      </c>
      <c r="AT39" s="24">
        <f t="shared" si="53"/>
        <v>33</v>
      </c>
      <c r="AU39" s="24">
        <f t="shared" si="54"/>
        <v>26</v>
      </c>
      <c r="AV39" s="24">
        <f t="shared" si="55"/>
        <v>2</v>
      </c>
      <c r="AW39" s="14">
        <f t="shared" si="56"/>
        <v>26</v>
      </c>
      <c r="AX39" s="24" t="str">
        <f t="shared" si="57"/>
        <v>Bangkok</v>
      </c>
      <c r="AY39" s="24">
        <f t="shared" si="58"/>
        <v>70.97</v>
      </c>
      <c r="AZ39" s="185" t="str">
        <f t="shared" si="59"/>
        <v>|||||||||||||||||||||||||||||||||||</v>
      </c>
    </row>
    <row r="40" spans="1:52">
      <c r="A40" s="24">
        <v>27</v>
      </c>
      <c r="B40" s="24" t="str">
        <f>tblCities!C29</f>
        <v>Tehran</v>
      </c>
      <c r="C40" s="14">
        <f t="shared" si="20"/>
        <v>53.78</v>
      </c>
      <c r="D40" s="14">
        <f>RANK(C40,C$14:C$63)+COUNTIF(C$14:C40,C40)-1</f>
        <v>49</v>
      </c>
      <c r="E40" s="24">
        <f t="shared" si="21"/>
        <v>42</v>
      </c>
      <c r="F40" s="24">
        <f t="shared" si="22"/>
        <v>27</v>
      </c>
      <c r="G40" s="24">
        <f t="shared" si="23"/>
        <v>2</v>
      </c>
      <c r="H40" s="14">
        <f t="shared" si="24"/>
        <v>27</v>
      </c>
      <c r="I40" s="24" t="str">
        <f t="shared" si="25"/>
        <v>Rome</v>
      </c>
      <c r="J40" s="24">
        <f t="shared" si="26"/>
        <v>67.13</v>
      </c>
      <c r="K40" s="185" t="str">
        <f t="shared" si="27"/>
        <v>|||||||||||||||||||||||||||||||||</v>
      </c>
      <c r="L40" s="185">
        <f>INDEX(tblCities!$H$3:$L$52,A40,$B$4)</f>
        <v>1</v>
      </c>
      <c r="N40" s="14">
        <f t="shared" si="28"/>
        <v>46.58</v>
      </c>
      <c r="O40" s="14">
        <f>RANK(N40,N$14:N$63)+COUNTIF(N$14:N40,N40)-1</f>
        <v>50</v>
      </c>
      <c r="P40" s="24">
        <f t="shared" si="29"/>
        <v>11</v>
      </c>
      <c r="Q40" s="24">
        <f t="shared" si="30"/>
        <v>27</v>
      </c>
      <c r="R40" s="24">
        <f t="shared" si="31"/>
        <v>2</v>
      </c>
      <c r="S40" s="14">
        <f t="shared" si="32"/>
        <v>27</v>
      </c>
      <c r="T40" s="24" t="str">
        <f t="shared" si="33"/>
        <v>Mexico City</v>
      </c>
      <c r="U40" s="24">
        <f t="shared" si="34"/>
        <v>61.69</v>
      </c>
      <c r="V40" s="185" t="str">
        <f t="shared" si="35"/>
        <v>||||||||||||||||||||||||||||||</v>
      </c>
      <c r="X40" s="14">
        <f t="shared" si="36"/>
        <v>48.22</v>
      </c>
      <c r="Y40" s="14">
        <f>RANK(X40,X$14:X$63)+COUNTIF(X$14:X40,X40)-1</f>
        <v>49</v>
      </c>
      <c r="Z40" s="24">
        <f t="shared" si="37"/>
        <v>43</v>
      </c>
      <c r="AA40" s="24">
        <f t="shared" si="38"/>
        <v>27</v>
      </c>
      <c r="AB40" s="24">
        <f t="shared" si="39"/>
        <v>2</v>
      </c>
      <c r="AC40" s="14">
        <f t="shared" si="40"/>
        <v>27</v>
      </c>
      <c r="AD40" s="24" t="str">
        <f t="shared" si="41"/>
        <v>Milan</v>
      </c>
      <c r="AE40" s="24">
        <f t="shared" si="42"/>
        <v>66.16</v>
      </c>
      <c r="AF40" s="185" t="str">
        <f t="shared" si="43"/>
        <v>|||||||||||||||||||||||||||||||||</v>
      </c>
      <c r="AH40" s="14">
        <f t="shared" si="44"/>
        <v>63.98</v>
      </c>
      <c r="AI40" s="14">
        <f>RANK(AH40,AH$14:AH$63)+COUNTIF(AH$14:AH40,AH40)-1</f>
        <v>43</v>
      </c>
      <c r="AJ40" s="24">
        <f t="shared" si="45"/>
        <v>49</v>
      </c>
      <c r="AK40" s="24">
        <f t="shared" si="46"/>
        <v>27</v>
      </c>
      <c r="AL40" s="24">
        <f t="shared" si="47"/>
        <v>2</v>
      </c>
      <c r="AM40" s="14">
        <f t="shared" si="48"/>
        <v>27</v>
      </c>
      <c r="AN40" s="24" t="str">
        <f t="shared" si="49"/>
        <v>Istanbul</v>
      </c>
      <c r="AO40" s="24">
        <f t="shared" si="50"/>
        <v>77.71</v>
      </c>
      <c r="AP40" s="185" t="str">
        <f t="shared" si="51"/>
        <v>||||||||||||||||||||||||||||||||||||||</v>
      </c>
      <c r="AR40" s="14">
        <f t="shared" si="52"/>
        <v>56.35</v>
      </c>
      <c r="AS40" s="14">
        <f>RANK(AR40,AR$14:AR$63)+COUNTIF(AR$14:AR40,AR40)-1</f>
        <v>47</v>
      </c>
      <c r="AT40" s="24">
        <f t="shared" si="53"/>
        <v>43</v>
      </c>
      <c r="AU40" s="24">
        <f t="shared" si="54"/>
        <v>27</v>
      </c>
      <c r="AV40" s="24">
        <f t="shared" si="55"/>
        <v>2</v>
      </c>
      <c r="AW40" s="14">
        <f t="shared" si="56"/>
        <v>27</v>
      </c>
      <c r="AX40" s="24" t="str">
        <f t="shared" si="57"/>
        <v>Milan</v>
      </c>
      <c r="AY40" s="24">
        <f t="shared" si="58"/>
        <v>70.87</v>
      </c>
      <c r="AZ40" s="185" t="str">
        <f t="shared" si="59"/>
        <v>|||||||||||||||||||||||||||||||||||</v>
      </c>
    </row>
    <row r="41" spans="1:52">
      <c r="A41" s="24">
        <v>28</v>
      </c>
      <c r="B41" s="24" t="str">
        <f>tblCities!C30</f>
        <v>Tokyo</v>
      </c>
      <c r="C41" s="14">
        <f t="shared" si="20"/>
        <v>85.63</v>
      </c>
      <c r="D41" s="14">
        <f>RANK(C41,C$14:C$63)+COUNTIF(C$14:C41,C41)-1</f>
        <v>1</v>
      </c>
      <c r="E41" s="24">
        <f t="shared" si="21"/>
        <v>13</v>
      </c>
      <c r="F41" s="24">
        <f t="shared" si="22"/>
        <v>28</v>
      </c>
      <c r="G41" s="24">
        <f t="shared" si="23"/>
        <v>2</v>
      </c>
      <c r="H41" s="14">
        <f t="shared" si="24"/>
        <v>28</v>
      </c>
      <c r="I41" s="24" t="str">
        <f t="shared" si="25"/>
        <v>Santiago</v>
      </c>
      <c r="J41" s="24">
        <f t="shared" si="26"/>
        <v>66.98</v>
      </c>
      <c r="K41" s="185" t="str">
        <f t="shared" si="27"/>
        <v>|||||||||||||||||||||||||||||||||</v>
      </c>
      <c r="L41" s="185">
        <f>INDEX(tblCities!$H$3:$L$52,A41,$B$4)</f>
        <v>1</v>
      </c>
      <c r="N41" s="14">
        <f t="shared" si="28"/>
        <v>87.18</v>
      </c>
      <c r="O41" s="14">
        <f>RANK(N41,N$14:N$63)+COUNTIF(N$14:N41,N41)-1</f>
        <v>1</v>
      </c>
      <c r="P41" s="24">
        <f t="shared" si="29"/>
        <v>46</v>
      </c>
      <c r="Q41" s="24">
        <f t="shared" si="30"/>
        <v>28</v>
      </c>
      <c r="R41" s="24">
        <f t="shared" si="31"/>
        <v>2</v>
      </c>
      <c r="S41" s="14">
        <f t="shared" si="32"/>
        <v>28</v>
      </c>
      <c r="T41" s="24" t="str">
        <f t="shared" si="33"/>
        <v>Madrid</v>
      </c>
      <c r="U41" s="24">
        <f t="shared" si="34"/>
        <v>60.78</v>
      </c>
      <c r="V41" s="185" t="str">
        <f t="shared" si="35"/>
        <v>||||||||||||||||||||||||||||||</v>
      </c>
      <c r="X41" s="14">
        <f t="shared" si="36"/>
        <v>76.26</v>
      </c>
      <c r="Y41" s="14">
        <f>RANK(X41,X$14:X$63)+COUNTIF(X$14:X41,X41)-1</f>
        <v>8</v>
      </c>
      <c r="Z41" s="24">
        <f t="shared" si="37"/>
        <v>13</v>
      </c>
      <c r="AA41" s="24">
        <f t="shared" si="38"/>
        <v>28</v>
      </c>
      <c r="AB41" s="24">
        <f t="shared" si="39"/>
        <v>2</v>
      </c>
      <c r="AC41" s="14">
        <f t="shared" si="40"/>
        <v>28</v>
      </c>
      <c r="AD41" s="24" t="str">
        <f t="shared" si="41"/>
        <v>Santiago</v>
      </c>
      <c r="AE41" s="24">
        <f t="shared" si="42"/>
        <v>65.02</v>
      </c>
      <c r="AF41" s="185" t="str">
        <f t="shared" si="43"/>
        <v>||||||||||||||||||||||||||||||||</v>
      </c>
      <c r="AH41" s="14">
        <f t="shared" si="44"/>
        <v>89.79</v>
      </c>
      <c r="AI41" s="14">
        <f>RANK(AH41,AH$14:AH$63)+COUNTIF(AH$14:AH41,AH41)-1</f>
        <v>5</v>
      </c>
      <c r="AJ41" s="24">
        <f t="shared" si="45"/>
        <v>3</v>
      </c>
      <c r="AK41" s="24">
        <f t="shared" si="46"/>
        <v>28</v>
      </c>
      <c r="AL41" s="24">
        <f t="shared" si="47"/>
        <v>2</v>
      </c>
      <c r="AM41" s="14">
        <f t="shared" si="48"/>
        <v>28</v>
      </c>
      <c r="AN41" s="24" t="str">
        <f t="shared" si="49"/>
        <v>Buenos Aires</v>
      </c>
      <c r="AO41" s="24">
        <f t="shared" si="50"/>
        <v>77.03</v>
      </c>
      <c r="AP41" s="185" t="str">
        <f t="shared" si="51"/>
        <v>||||||||||||||||||||||||||||||||||||||</v>
      </c>
      <c r="AR41" s="14">
        <f t="shared" si="52"/>
        <v>89.31</v>
      </c>
      <c r="AS41" s="14">
        <f>RANK(AR41,AR$14:AR$63)+COUNTIF(AR$14:AR41,AR41)-1</f>
        <v>3</v>
      </c>
      <c r="AT41" s="24">
        <f t="shared" si="53"/>
        <v>14</v>
      </c>
      <c r="AU41" s="24">
        <f t="shared" si="54"/>
        <v>28</v>
      </c>
      <c r="AV41" s="24">
        <f t="shared" si="55"/>
        <v>2</v>
      </c>
      <c r="AW41" s="14">
        <f t="shared" si="56"/>
        <v>28</v>
      </c>
      <c r="AX41" s="24" t="str">
        <f t="shared" si="57"/>
        <v>New York</v>
      </c>
      <c r="AY41" s="24">
        <f t="shared" si="58"/>
        <v>69.45</v>
      </c>
      <c r="AZ41" s="185" t="str">
        <f t="shared" si="59"/>
        <v>||||||||||||||||||||||||||||||||||</v>
      </c>
    </row>
    <row r="42" spans="1:52">
      <c r="A42" s="24">
        <v>29</v>
      </c>
      <c r="B42" s="24" t="str">
        <f>tblCities!C31</f>
        <v>Osaka</v>
      </c>
      <c r="C42" s="14">
        <f t="shared" si="20"/>
        <v>82.36</v>
      </c>
      <c r="D42" s="14">
        <f>RANK(C42,C$14:C$63)+COUNTIF(C$14:C42,C42)-1</f>
        <v>3</v>
      </c>
      <c r="E42" s="24">
        <f t="shared" si="21"/>
        <v>36</v>
      </c>
      <c r="F42" s="24">
        <f t="shared" si="22"/>
        <v>29</v>
      </c>
      <c r="G42" s="24">
        <f t="shared" si="23"/>
        <v>4</v>
      </c>
      <c r="H42" s="14">
        <f t="shared" si="24"/>
        <v>29</v>
      </c>
      <c r="I42" s="24" t="str">
        <f t="shared" si="25"/>
        <v>Doha</v>
      </c>
      <c r="J42" s="24">
        <f t="shared" si="26"/>
        <v>66.41</v>
      </c>
      <c r="K42" s="185" t="str">
        <f t="shared" si="27"/>
        <v>|||||||||||||||||||||||||||||||||</v>
      </c>
      <c r="L42" s="185">
        <f>INDEX(tblCities!$H$3:$L$52,A42,$B$4)</f>
        <v>1</v>
      </c>
      <c r="N42" s="14">
        <f t="shared" si="28"/>
        <v>77</v>
      </c>
      <c r="O42" s="14">
        <f>RANK(N42,N$14:N$63)+COUNTIF(N$14:N42,N42)-1</f>
        <v>5</v>
      </c>
      <c r="P42" s="24">
        <f t="shared" si="29"/>
        <v>47</v>
      </c>
      <c r="Q42" s="24">
        <f t="shared" si="30"/>
        <v>29</v>
      </c>
      <c r="R42" s="24">
        <f t="shared" si="31"/>
        <v>2</v>
      </c>
      <c r="S42" s="14">
        <f t="shared" si="32"/>
        <v>29</v>
      </c>
      <c r="T42" s="24" t="str">
        <f t="shared" si="33"/>
        <v>Barcelona</v>
      </c>
      <c r="U42" s="24">
        <f t="shared" si="34"/>
        <v>60.29</v>
      </c>
      <c r="V42" s="185" t="str">
        <f t="shared" si="35"/>
        <v>||||||||||||||||||||||||||||||</v>
      </c>
      <c r="X42" s="14">
        <f t="shared" si="36"/>
        <v>76.55</v>
      </c>
      <c r="Y42" s="14">
        <f>RANK(X42,X$14:X$63)+COUNTIF(X$14:X42,X42)-1</f>
        <v>6</v>
      </c>
      <c r="Z42" s="24">
        <f t="shared" si="37"/>
        <v>3</v>
      </c>
      <c r="AA42" s="24">
        <f t="shared" si="38"/>
        <v>29</v>
      </c>
      <c r="AB42" s="24">
        <f t="shared" si="39"/>
        <v>2</v>
      </c>
      <c r="AC42" s="14">
        <f t="shared" si="40"/>
        <v>29</v>
      </c>
      <c r="AD42" s="24" t="str">
        <f t="shared" si="41"/>
        <v>Buenos Aires</v>
      </c>
      <c r="AE42" s="24">
        <f t="shared" si="42"/>
        <v>64.64</v>
      </c>
      <c r="AF42" s="185" t="str">
        <f t="shared" si="43"/>
        <v>||||||||||||||||||||||||||||||||</v>
      </c>
      <c r="AH42" s="14">
        <f t="shared" si="44"/>
        <v>85.71</v>
      </c>
      <c r="AI42" s="14">
        <f>RANK(AH42,AH$14:AH$63)+COUNTIF(AH$14:AH42,AH42)-1</f>
        <v>12</v>
      </c>
      <c r="AJ42" s="24">
        <f t="shared" si="45"/>
        <v>15</v>
      </c>
      <c r="AK42" s="24">
        <f t="shared" si="46"/>
        <v>29</v>
      </c>
      <c r="AL42" s="24">
        <f t="shared" si="47"/>
        <v>2</v>
      </c>
      <c r="AM42" s="14">
        <f t="shared" si="48"/>
        <v>29</v>
      </c>
      <c r="AN42" s="24" t="str">
        <f t="shared" si="49"/>
        <v>Washington DC</v>
      </c>
      <c r="AO42" s="24">
        <f t="shared" si="50"/>
        <v>77</v>
      </c>
      <c r="AP42" s="185" t="str">
        <f t="shared" si="51"/>
        <v>||||||||||||||||||||||||||||||||||||||</v>
      </c>
      <c r="AR42" s="14">
        <f t="shared" si="52"/>
        <v>90.2</v>
      </c>
      <c r="AS42" s="14">
        <f>RANK(AR42,AR$14:AR$63)+COUNTIF(AR$14:AR42,AR42)-1</f>
        <v>2</v>
      </c>
      <c r="AT42" s="24">
        <f t="shared" si="53"/>
        <v>9</v>
      </c>
      <c r="AU42" s="24">
        <f t="shared" si="54"/>
        <v>29</v>
      </c>
      <c r="AV42" s="24">
        <f t="shared" si="55"/>
        <v>2</v>
      </c>
      <c r="AW42" s="14">
        <f t="shared" si="56"/>
        <v>29</v>
      </c>
      <c r="AX42" s="24" t="str">
        <f t="shared" si="57"/>
        <v>Montreal</v>
      </c>
      <c r="AY42" s="24">
        <f t="shared" si="58"/>
        <v>68.48</v>
      </c>
      <c r="AZ42" s="185" t="str">
        <f t="shared" si="59"/>
        <v>||||||||||||||||||||||||||||||||||</v>
      </c>
    </row>
    <row r="43" spans="1:52">
      <c r="A43" s="24">
        <v>30</v>
      </c>
      <c r="B43" s="24" t="str">
        <f>tblCities!C32</f>
        <v>Singapore</v>
      </c>
      <c r="C43" s="14">
        <f t="shared" si="20"/>
        <v>84.61</v>
      </c>
      <c r="D43" s="14">
        <f>RANK(C43,C$14:C$63)+COUNTIF(C$14:C43,C43)-1</f>
        <v>2</v>
      </c>
      <c r="E43" s="24">
        <f t="shared" si="21"/>
        <v>20</v>
      </c>
      <c r="F43" s="24">
        <f t="shared" si="22"/>
        <v>30</v>
      </c>
      <c r="G43" s="24">
        <f t="shared" si="23"/>
        <v>2</v>
      </c>
      <c r="H43" s="14">
        <f t="shared" si="24"/>
        <v>30</v>
      </c>
      <c r="I43" s="24" t="str">
        <f t="shared" si="25"/>
        <v>Shanghai</v>
      </c>
      <c r="J43" s="24">
        <f t="shared" si="26"/>
        <v>65.93</v>
      </c>
      <c r="K43" s="185" t="str">
        <f t="shared" si="27"/>
        <v>||||||||||||||||||||||||||||||||</v>
      </c>
      <c r="L43" s="185">
        <f>INDEX(tblCities!$H$3:$L$52,A43,$B$4)</f>
        <v>1</v>
      </c>
      <c r="N43" s="14">
        <f t="shared" si="28"/>
        <v>83.85</v>
      </c>
      <c r="O43" s="14">
        <f>RANK(N43,N$14:N$63)+COUNTIF(N$14:N43,N43)-1</f>
        <v>2</v>
      </c>
      <c r="P43" s="24">
        <f t="shared" si="29"/>
        <v>3</v>
      </c>
      <c r="Q43" s="24">
        <f t="shared" si="30"/>
        <v>30</v>
      </c>
      <c r="R43" s="24">
        <f t="shared" si="31"/>
        <v>2</v>
      </c>
      <c r="S43" s="14">
        <f t="shared" si="32"/>
        <v>30</v>
      </c>
      <c r="T43" s="24" t="str">
        <f t="shared" si="33"/>
        <v>Buenos Aires</v>
      </c>
      <c r="U43" s="24">
        <f t="shared" si="34"/>
        <v>59.58</v>
      </c>
      <c r="V43" s="185" t="str">
        <f t="shared" si="35"/>
        <v>|||||||||||||||||||||||||||||</v>
      </c>
      <c r="X43" s="14">
        <f t="shared" si="36"/>
        <v>75.31</v>
      </c>
      <c r="Y43" s="14">
        <f>RANK(X43,X$14:X$63)+COUNTIF(X$14:X43,X43)-1</f>
        <v>12</v>
      </c>
      <c r="Z43" s="24">
        <f t="shared" si="37"/>
        <v>19</v>
      </c>
      <c r="AA43" s="24">
        <f t="shared" si="38"/>
        <v>30</v>
      </c>
      <c r="AB43" s="24">
        <f t="shared" si="39"/>
        <v>2</v>
      </c>
      <c r="AC43" s="14">
        <f t="shared" si="40"/>
        <v>30</v>
      </c>
      <c r="AD43" s="24" t="str">
        <f t="shared" si="41"/>
        <v>Beijing </v>
      </c>
      <c r="AE43" s="24">
        <f t="shared" si="42"/>
        <v>64.1</v>
      </c>
      <c r="AF43" s="185" t="str">
        <f t="shared" si="43"/>
        <v>||||||||||||||||||||||||||||||||</v>
      </c>
      <c r="AH43" s="14">
        <f t="shared" si="44"/>
        <v>88.86</v>
      </c>
      <c r="AI43" s="14">
        <f>RANK(AH43,AH$14:AH$63)+COUNTIF(AH$14:AH43,AH43)-1</f>
        <v>7</v>
      </c>
      <c r="AJ43" s="24">
        <f t="shared" si="45"/>
        <v>20</v>
      </c>
      <c r="AK43" s="24">
        <f t="shared" si="46"/>
        <v>30</v>
      </c>
      <c r="AL43" s="24">
        <f t="shared" si="47"/>
        <v>2</v>
      </c>
      <c r="AM43" s="14">
        <f t="shared" si="48"/>
        <v>30</v>
      </c>
      <c r="AN43" s="24" t="str">
        <f t="shared" si="49"/>
        <v>Shanghai</v>
      </c>
      <c r="AO43" s="24">
        <f t="shared" si="50"/>
        <v>76.63</v>
      </c>
      <c r="AP43" s="185" t="str">
        <f t="shared" si="51"/>
        <v>||||||||||||||||||||||||||||||||||||||</v>
      </c>
      <c r="AR43" s="14">
        <f t="shared" si="52"/>
        <v>90.42</v>
      </c>
      <c r="AS43" s="14">
        <f>RANK(AR43,AR$14:AR$63)+COUNTIF(AR$14:AR43,AR43)-1</f>
        <v>1</v>
      </c>
      <c r="AT43" s="24">
        <f t="shared" si="53"/>
        <v>20</v>
      </c>
      <c r="AU43" s="24">
        <f t="shared" si="54"/>
        <v>30</v>
      </c>
      <c r="AV43" s="24">
        <f t="shared" si="55"/>
        <v>2</v>
      </c>
      <c r="AW43" s="14">
        <f t="shared" si="56"/>
        <v>30</v>
      </c>
      <c r="AX43" s="24" t="str">
        <f t="shared" si="57"/>
        <v>Shanghai</v>
      </c>
      <c r="AY43" s="24">
        <f t="shared" si="58"/>
        <v>67.66</v>
      </c>
      <c r="AZ43" s="185" t="str">
        <f t="shared" si="59"/>
        <v>|||||||||||||||||||||||||||||||||</v>
      </c>
    </row>
    <row r="44" spans="1:52">
      <c r="A44" s="24">
        <v>31</v>
      </c>
      <c r="B44" s="24" t="str">
        <f>tblCities!C33</f>
        <v>Seoul</v>
      </c>
      <c r="C44" s="14">
        <f t="shared" si="20"/>
        <v>70.9</v>
      </c>
      <c r="D44" s="14">
        <f>RANK(C44,C$14:C$63)+COUNTIF(C$14:C44,C44)-1</f>
        <v>24</v>
      </c>
      <c r="E44" s="24">
        <f t="shared" si="21"/>
        <v>3</v>
      </c>
      <c r="F44" s="24">
        <f t="shared" si="22"/>
        <v>31</v>
      </c>
      <c r="G44" s="24">
        <f t="shared" si="23"/>
        <v>2</v>
      </c>
      <c r="H44" s="14">
        <f t="shared" si="24"/>
        <v>31</v>
      </c>
      <c r="I44" s="24" t="str">
        <f t="shared" si="25"/>
        <v>Buenos Aires</v>
      </c>
      <c r="J44" s="24">
        <f t="shared" si="26"/>
        <v>65.88</v>
      </c>
      <c r="K44" s="185" t="str">
        <f t="shared" si="27"/>
        <v>||||||||||||||||||||||||||||||||</v>
      </c>
      <c r="L44" s="185">
        <f>INDEX(tblCities!$H$3:$L$52,A44,$B$4)</f>
        <v>1</v>
      </c>
      <c r="N44" s="14">
        <f t="shared" si="28"/>
        <v>51.46</v>
      </c>
      <c r="O44" s="14">
        <f>RANK(N44,N$14:N$63)+COUNTIF(N$14:N44,N44)-1</f>
        <v>47</v>
      </c>
      <c r="P44" s="24">
        <f t="shared" si="29"/>
        <v>36</v>
      </c>
      <c r="Q44" s="24">
        <f t="shared" si="30"/>
        <v>31</v>
      </c>
      <c r="R44" s="24">
        <f t="shared" si="31"/>
        <v>4</v>
      </c>
      <c r="S44" s="14">
        <f t="shared" si="32"/>
        <v>31</v>
      </c>
      <c r="T44" s="24" t="str">
        <f t="shared" si="33"/>
        <v>Doha</v>
      </c>
      <c r="U44" s="24">
        <f t="shared" si="34"/>
        <v>58.73</v>
      </c>
      <c r="V44" s="185" t="str">
        <f t="shared" si="35"/>
        <v>|||||||||||||||||||||||||||||</v>
      </c>
      <c r="X44" s="14">
        <f t="shared" si="36"/>
        <v>72.86</v>
      </c>
      <c r="Y44" s="14">
        <f>RANK(X44,X$14:X$63)+COUNTIF(X$14:X44,X44)-1</f>
        <v>18</v>
      </c>
      <c r="Z44" s="24">
        <f t="shared" si="37"/>
        <v>20</v>
      </c>
      <c r="AA44" s="24">
        <f t="shared" si="38"/>
        <v>31</v>
      </c>
      <c r="AB44" s="24">
        <f t="shared" si="39"/>
        <v>2</v>
      </c>
      <c r="AC44" s="14">
        <f t="shared" si="40"/>
        <v>31</v>
      </c>
      <c r="AD44" s="24" t="str">
        <f t="shared" si="41"/>
        <v>Shanghai</v>
      </c>
      <c r="AE44" s="24">
        <f t="shared" si="42"/>
        <v>63.31</v>
      </c>
      <c r="AF44" s="185" t="str">
        <f t="shared" si="43"/>
        <v>|||||||||||||||||||||||||||||||</v>
      </c>
      <c r="AH44" s="14">
        <f t="shared" si="44"/>
        <v>85.64</v>
      </c>
      <c r="AI44" s="14">
        <f>RANK(AH44,AH$14:AH$63)+COUNTIF(AH$14:AH44,AH44)-1</f>
        <v>15</v>
      </c>
      <c r="AJ44" s="24">
        <f t="shared" si="45"/>
        <v>22</v>
      </c>
      <c r="AK44" s="24">
        <f t="shared" si="46"/>
        <v>31</v>
      </c>
      <c r="AL44" s="24">
        <f t="shared" si="47"/>
        <v>2</v>
      </c>
      <c r="AM44" s="14">
        <f t="shared" si="48"/>
        <v>31</v>
      </c>
      <c r="AN44" s="24" t="str">
        <f t="shared" si="49"/>
        <v>Guangzhou</v>
      </c>
      <c r="AO44" s="24">
        <f t="shared" si="50"/>
        <v>76.57</v>
      </c>
      <c r="AP44" s="185" t="str">
        <f t="shared" si="51"/>
        <v>||||||||||||||||||||||||||||||||||||||</v>
      </c>
      <c r="AR44" s="14">
        <f t="shared" si="52"/>
        <v>73.62</v>
      </c>
      <c r="AS44" s="14">
        <f>RANK(AR44,AR$14:AR$63)+COUNTIF(AR$14:AR44,AR44)-1</f>
        <v>19</v>
      </c>
      <c r="AT44" s="24">
        <f t="shared" si="53"/>
        <v>5</v>
      </c>
      <c r="AU44" s="24">
        <f t="shared" si="54"/>
        <v>31</v>
      </c>
      <c r="AV44" s="24">
        <f t="shared" si="55"/>
        <v>2</v>
      </c>
      <c r="AW44" s="14">
        <f t="shared" si="56"/>
        <v>31</v>
      </c>
      <c r="AX44" s="24" t="str">
        <f t="shared" si="57"/>
        <v>Rio de Janeiro</v>
      </c>
      <c r="AY44" s="24">
        <f t="shared" si="58"/>
        <v>67.45</v>
      </c>
      <c r="AZ44" s="185" t="str">
        <f t="shared" si="59"/>
        <v>|||||||||||||||||||||||||||||||||</v>
      </c>
    </row>
    <row r="45" spans="1:52">
      <c r="A45" s="24">
        <v>32</v>
      </c>
      <c r="B45" s="24" t="str">
        <f>tblCities!C34</f>
        <v>Taipei</v>
      </c>
      <c r="C45" s="14">
        <f t="shared" si="20"/>
        <v>76.51</v>
      </c>
      <c r="D45" s="14">
        <f>RANK(C45,C$14:C$63)+COUNTIF(C$14:C45,C45)-1</f>
        <v>13</v>
      </c>
      <c r="E45" s="24">
        <f t="shared" si="21"/>
        <v>21</v>
      </c>
      <c r="F45" s="24">
        <f t="shared" si="22"/>
        <v>32</v>
      </c>
      <c r="G45" s="24">
        <f t="shared" si="23"/>
        <v>2</v>
      </c>
      <c r="H45" s="14">
        <f t="shared" si="24"/>
        <v>32</v>
      </c>
      <c r="I45" s="24" t="str">
        <f t="shared" si="25"/>
        <v>Shenzhen</v>
      </c>
      <c r="J45" s="24">
        <f t="shared" si="26"/>
        <v>65.76</v>
      </c>
      <c r="K45" s="185" t="str">
        <f t="shared" si="27"/>
        <v>||||||||||||||||||||||||||||||||</v>
      </c>
      <c r="L45" s="185">
        <f>INDEX(tblCities!$H$3:$L$52,A45,$B$4)</f>
        <v>1</v>
      </c>
      <c r="N45" s="14">
        <f t="shared" si="28"/>
        <v>65.11</v>
      </c>
      <c r="O45" s="14">
        <f>RANK(N45,N$14:N$63)+COUNTIF(N$14:N45,N45)-1</f>
        <v>21</v>
      </c>
      <c r="P45" s="24">
        <f t="shared" si="29"/>
        <v>40</v>
      </c>
      <c r="Q45" s="24">
        <f t="shared" si="30"/>
        <v>32</v>
      </c>
      <c r="R45" s="24">
        <f t="shared" si="31"/>
        <v>2</v>
      </c>
      <c r="S45" s="14">
        <f t="shared" si="32"/>
        <v>32</v>
      </c>
      <c r="T45" s="24" t="str">
        <f t="shared" si="33"/>
        <v>Paris</v>
      </c>
      <c r="U45" s="24">
        <f t="shared" si="34"/>
        <v>58.4</v>
      </c>
      <c r="V45" s="185" t="str">
        <f t="shared" si="35"/>
        <v>|||||||||||||||||||||||||||||</v>
      </c>
      <c r="X45" s="14">
        <f t="shared" si="36"/>
        <v>76</v>
      </c>
      <c r="Y45" s="14">
        <f>RANK(X45,X$14:X$63)+COUNTIF(X$14:X45,X45)-1</f>
        <v>9</v>
      </c>
      <c r="Z45" s="24">
        <f t="shared" si="37"/>
        <v>21</v>
      </c>
      <c r="AA45" s="24">
        <f t="shared" si="38"/>
        <v>32</v>
      </c>
      <c r="AB45" s="24">
        <f t="shared" si="39"/>
        <v>2</v>
      </c>
      <c r="AC45" s="14">
        <f t="shared" si="40"/>
        <v>32</v>
      </c>
      <c r="AD45" s="24" t="str">
        <f t="shared" si="41"/>
        <v>Shenzhen</v>
      </c>
      <c r="AE45" s="24">
        <f t="shared" si="42"/>
        <v>61.85</v>
      </c>
      <c r="AF45" s="185" t="str">
        <f t="shared" si="43"/>
        <v>||||||||||||||||||||||||||||||</v>
      </c>
      <c r="AH45" s="14">
        <f t="shared" si="44"/>
        <v>79.25</v>
      </c>
      <c r="AI45" s="14">
        <f>RANK(AH45,AH$14:AH$63)+COUNTIF(AH$14:AH45,AH45)-1</f>
        <v>22</v>
      </c>
      <c r="AJ45" s="24">
        <f t="shared" si="45"/>
        <v>19</v>
      </c>
      <c r="AK45" s="24">
        <f t="shared" si="46"/>
        <v>32</v>
      </c>
      <c r="AL45" s="24">
        <f t="shared" si="47"/>
        <v>2</v>
      </c>
      <c r="AM45" s="14">
        <f t="shared" si="48"/>
        <v>32</v>
      </c>
      <c r="AN45" s="24" t="str">
        <f t="shared" si="49"/>
        <v>Beijing </v>
      </c>
      <c r="AO45" s="24">
        <f t="shared" si="50"/>
        <v>76.54</v>
      </c>
      <c r="AP45" s="185" t="str">
        <f t="shared" si="51"/>
        <v>||||||||||||||||||||||||||||||||||||||</v>
      </c>
      <c r="AR45" s="14">
        <f t="shared" si="52"/>
        <v>85.67</v>
      </c>
      <c r="AS45" s="14">
        <f>RANK(AR45,AR$14:AR$63)+COUNTIF(AR$14:AR45,AR45)-1</f>
        <v>5</v>
      </c>
      <c r="AT45" s="24">
        <f t="shared" si="53"/>
        <v>38</v>
      </c>
      <c r="AU45" s="24">
        <f t="shared" si="54"/>
        <v>32</v>
      </c>
      <c r="AV45" s="24">
        <f t="shared" si="55"/>
        <v>3</v>
      </c>
      <c r="AW45" s="14">
        <f t="shared" si="56"/>
        <v>32</v>
      </c>
      <c r="AX45" s="24" t="str">
        <f t="shared" si="57"/>
        <v>Abu Dhabi</v>
      </c>
      <c r="AY45" s="24">
        <f t="shared" si="58"/>
        <v>67.39</v>
      </c>
      <c r="AZ45" s="185" t="str">
        <f t="shared" si="59"/>
        <v>|||||||||||||||||||||||||||||||||</v>
      </c>
    </row>
    <row r="46" spans="1:52">
      <c r="A46" s="24">
        <v>33</v>
      </c>
      <c r="B46" s="24" t="str">
        <f>tblCities!C35</f>
        <v>Bangkok</v>
      </c>
      <c r="C46" s="14">
        <f t="shared" si="20"/>
        <v>62.69</v>
      </c>
      <c r="D46" s="14">
        <f>RANK(C46,C$14:C$63)+COUNTIF(C$14:C46,C46)-1</f>
        <v>39</v>
      </c>
      <c r="E46" s="24">
        <f t="shared" si="21"/>
        <v>12</v>
      </c>
      <c r="F46" s="24">
        <f t="shared" si="22"/>
        <v>33</v>
      </c>
      <c r="G46" s="24">
        <f t="shared" si="23"/>
        <v>2</v>
      </c>
      <c r="H46" s="14">
        <f t="shared" si="24"/>
        <v>33</v>
      </c>
      <c r="I46" s="24" t="str">
        <f t="shared" si="25"/>
        <v>Lima</v>
      </c>
      <c r="J46" s="24">
        <f t="shared" si="26"/>
        <v>65.01</v>
      </c>
      <c r="K46" s="185" t="str">
        <f t="shared" si="27"/>
        <v>||||||||||||||||||||||||||||||||</v>
      </c>
      <c r="L46" s="185">
        <f>INDEX(tblCities!$H$3:$L$52,A46,$B$4)</f>
        <v>1</v>
      </c>
      <c r="N46" s="14">
        <f t="shared" si="28"/>
        <v>52.86</v>
      </c>
      <c r="O46" s="14">
        <f>RANK(N46,N$14:N$63)+COUNTIF(N$14:N46,N46)-1</f>
        <v>45</v>
      </c>
      <c r="P46" s="24">
        <f t="shared" si="29"/>
        <v>41</v>
      </c>
      <c r="Q46" s="24">
        <f t="shared" si="30"/>
        <v>33</v>
      </c>
      <c r="R46" s="24">
        <f t="shared" si="31"/>
        <v>2</v>
      </c>
      <c r="S46" s="14">
        <f t="shared" si="32"/>
        <v>33</v>
      </c>
      <c r="T46" s="24" t="str">
        <f t="shared" si="33"/>
        <v>Frankfurt</v>
      </c>
      <c r="U46" s="24">
        <f t="shared" si="34"/>
        <v>57.45</v>
      </c>
      <c r="V46" s="185" t="str">
        <f t="shared" si="35"/>
        <v>||||||||||||||||||||||||||||</v>
      </c>
      <c r="X46" s="14">
        <f t="shared" si="36"/>
        <v>60.5</v>
      </c>
      <c r="Y46" s="14">
        <f>RANK(X46,X$14:X$63)+COUNTIF(X$14:X46,X46)-1</f>
        <v>35</v>
      </c>
      <c r="Z46" s="24">
        <f t="shared" si="37"/>
        <v>11</v>
      </c>
      <c r="AA46" s="24">
        <f t="shared" si="38"/>
        <v>33</v>
      </c>
      <c r="AB46" s="24">
        <f t="shared" si="39"/>
        <v>2</v>
      </c>
      <c r="AC46" s="14">
        <f t="shared" si="40"/>
        <v>33</v>
      </c>
      <c r="AD46" s="24" t="str">
        <f t="shared" si="41"/>
        <v>Mexico City</v>
      </c>
      <c r="AE46" s="24">
        <f t="shared" si="42"/>
        <v>61.16</v>
      </c>
      <c r="AF46" s="185" t="str">
        <f t="shared" si="43"/>
        <v>||||||||||||||||||||||||||||||</v>
      </c>
      <c r="AH46" s="14">
        <f t="shared" si="44"/>
        <v>66.44</v>
      </c>
      <c r="AI46" s="14">
        <f>RANK(AH46,AH$14:AH$63)+COUNTIF(AH$14:AH46,AH46)-1</f>
        <v>42</v>
      </c>
      <c r="AJ46" s="24">
        <f t="shared" si="45"/>
        <v>23</v>
      </c>
      <c r="AK46" s="24">
        <f t="shared" si="46"/>
        <v>33</v>
      </c>
      <c r="AL46" s="24">
        <f t="shared" si="47"/>
        <v>2</v>
      </c>
      <c r="AM46" s="14">
        <f t="shared" si="48"/>
        <v>33</v>
      </c>
      <c r="AN46" s="24" t="str">
        <f t="shared" si="49"/>
        <v>Tianjin</v>
      </c>
      <c r="AO46" s="24">
        <f t="shared" si="50"/>
        <v>76.53</v>
      </c>
      <c r="AP46" s="185" t="str">
        <f t="shared" si="51"/>
        <v>||||||||||||||||||||||||||||||||||||||</v>
      </c>
      <c r="AR46" s="14">
        <f t="shared" si="52"/>
        <v>70.97</v>
      </c>
      <c r="AS46" s="14">
        <f>RANK(AR46,AR$14:AR$63)+COUNTIF(AR$14:AR46,AR46)-1</f>
        <v>26</v>
      </c>
      <c r="AT46" s="24">
        <f t="shared" si="53"/>
        <v>46</v>
      </c>
      <c r="AU46" s="24">
        <f t="shared" si="54"/>
        <v>33</v>
      </c>
      <c r="AV46" s="24">
        <f t="shared" si="55"/>
        <v>2</v>
      </c>
      <c r="AW46" s="14">
        <f t="shared" si="56"/>
        <v>33</v>
      </c>
      <c r="AX46" s="24" t="str">
        <f t="shared" si="57"/>
        <v>Madrid</v>
      </c>
      <c r="AY46" s="24">
        <f t="shared" si="58"/>
        <v>65.81</v>
      </c>
      <c r="AZ46" s="185" t="str">
        <f t="shared" si="59"/>
        <v>||||||||||||||||||||||||||||||||</v>
      </c>
    </row>
    <row r="47" spans="1:52">
      <c r="A47" s="24">
        <v>34</v>
      </c>
      <c r="B47" s="24" t="str">
        <f>tblCities!C36</f>
        <v>Ho Chi Minh</v>
      </c>
      <c r="C47" s="14">
        <f t="shared" si="20"/>
        <v>54.93</v>
      </c>
      <c r="D47" s="14">
        <f>RANK(C47,C$14:C$63)+COUNTIF(C$14:C47,C47)-1</f>
        <v>48</v>
      </c>
      <c r="E47" s="24">
        <f t="shared" si="21"/>
        <v>23</v>
      </c>
      <c r="F47" s="24">
        <f t="shared" si="22"/>
        <v>34</v>
      </c>
      <c r="G47" s="24">
        <f t="shared" si="23"/>
        <v>2</v>
      </c>
      <c r="H47" s="14">
        <f t="shared" si="24"/>
        <v>34</v>
      </c>
      <c r="I47" s="24" t="str">
        <f t="shared" si="25"/>
        <v>Tianjin</v>
      </c>
      <c r="J47" s="24">
        <f t="shared" si="26"/>
        <v>63.55</v>
      </c>
      <c r="K47" s="185" t="str">
        <f t="shared" si="27"/>
        <v>|||||||||||||||||||||||||||||||</v>
      </c>
      <c r="L47" s="185">
        <f>INDEX(tblCities!$H$3:$L$52,A47,$B$4)</f>
        <v>1</v>
      </c>
      <c r="N47" s="14">
        <f t="shared" si="28"/>
        <v>53.31</v>
      </c>
      <c r="O47" s="14">
        <f>RANK(N47,N$14:N$63)+COUNTIF(N$14:N47,N47)-1</f>
        <v>42</v>
      </c>
      <c r="P47" s="24">
        <f t="shared" si="29"/>
        <v>19</v>
      </c>
      <c r="Q47" s="24">
        <f t="shared" si="30"/>
        <v>34</v>
      </c>
      <c r="R47" s="24">
        <f t="shared" si="31"/>
        <v>2</v>
      </c>
      <c r="S47" s="14">
        <f t="shared" si="32"/>
        <v>34</v>
      </c>
      <c r="T47" s="24" t="str">
        <f t="shared" si="33"/>
        <v>Beijing </v>
      </c>
      <c r="U47" s="24">
        <f t="shared" si="34"/>
        <v>56.87</v>
      </c>
      <c r="V47" s="185" t="str">
        <f t="shared" si="35"/>
        <v>||||||||||||||||||||||||||||</v>
      </c>
      <c r="X47" s="14">
        <f t="shared" si="36"/>
        <v>48.39</v>
      </c>
      <c r="Y47" s="14">
        <f>RANK(X47,X$14:X$63)+COUNTIF(X$14:X47,X47)-1</f>
        <v>48</v>
      </c>
      <c r="Z47" s="24">
        <f t="shared" si="37"/>
        <v>23</v>
      </c>
      <c r="AA47" s="24">
        <f t="shared" si="38"/>
        <v>34</v>
      </c>
      <c r="AB47" s="24">
        <f t="shared" si="39"/>
        <v>2</v>
      </c>
      <c r="AC47" s="14">
        <f t="shared" si="40"/>
        <v>34</v>
      </c>
      <c r="AD47" s="24" t="str">
        <f t="shared" si="41"/>
        <v>Tianjin</v>
      </c>
      <c r="AE47" s="24">
        <f t="shared" si="42"/>
        <v>60.93</v>
      </c>
      <c r="AF47" s="185" t="str">
        <f t="shared" si="43"/>
        <v>||||||||||||||||||||||||||||||</v>
      </c>
      <c r="AH47" s="14">
        <f t="shared" si="44"/>
        <v>52.41</v>
      </c>
      <c r="AI47" s="14">
        <f>RANK(AH47,AH$14:AH$63)+COUNTIF(AH$14:AH47,AH47)-1</f>
        <v>50</v>
      </c>
      <c r="AJ47" s="24">
        <f t="shared" si="45"/>
        <v>21</v>
      </c>
      <c r="AK47" s="24">
        <f t="shared" si="46"/>
        <v>34</v>
      </c>
      <c r="AL47" s="24">
        <f t="shared" si="47"/>
        <v>2</v>
      </c>
      <c r="AM47" s="14">
        <f t="shared" si="48"/>
        <v>34</v>
      </c>
      <c r="AN47" s="24" t="str">
        <f t="shared" si="49"/>
        <v>Shenzhen</v>
      </c>
      <c r="AO47" s="24">
        <f t="shared" si="50"/>
        <v>76.5</v>
      </c>
      <c r="AP47" s="185" t="str">
        <f t="shared" si="51"/>
        <v>||||||||||||||||||||||||||||||||||||||</v>
      </c>
      <c r="AR47" s="14">
        <f t="shared" si="52"/>
        <v>65.62</v>
      </c>
      <c r="AS47" s="14">
        <f>RANK(AR47,AR$14:AR$63)+COUNTIF(AR$14:AR47,AR47)-1</f>
        <v>34</v>
      </c>
      <c r="AT47" s="24">
        <f t="shared" si="53"/>
        <v>34</v>
      </c>
      <c r="AU47" s="24">
        <f t="shared" si="54"/>
        <v>34</v>
      </c>
      <c r="AV47" s="24">
        <f t="shared" si="55"/>
        <v>2</v>
      </c>
      <c r="AW47" s="14">
        <f t="shared" si="56"/>
        <v>34</v>
      </c>
      <c r="AX47" s="24" t="str">
        <f t="shared" si="57"/>
        <v>Ho Chi Minh</v>
      </c>
      <c r="AY47" s="24">
        <f t="shared" si="58"/>
        <v>65.62</v>
      </c>
      <c r="AZ47" s="185" t="str">
        <f t="shared" si="59"/>
        <v>||||||||||||||||||||||||||||||||</v>
      </c>
    </row>
    <row r="48" spans="1:52">
      <c r="A48" s="24">
        <v>35</v>
      </c>
      <c r="B48" s="24" t="str">
        <f>tblCities!C37</f>
        <v>Kuwait City</v>
      </c>
      <c r="C48" s="14">
        <f t="shared" si="20"/>
        <v>63.47</v>
      </c>
      <c r="D48" s="14">
        <f>RANK(C48,C$14:C$63)+COUNTIF(C$14:C48,C48)-1</f>
        <v>36</v>
      </c>
      <c r="E48" s="24">
        <f t="shared" si="21"/>
        <v>5</v>
      </c>
      <c r="F48" s="24">
        <f t="shared" si="22"/>
        <v>35</v>
      </c>
      <c r="G48" s="24">
        <f t="shared" si="23"/>
        <v>2</v>
      </c>
      <c r="H48" s="14">
        <f t="shared" si="24"/>
        <v>35</v>
      </c>
      <c r="I48" s="24" t="str">
        <f t="shared" si="25"/>
        <v>Rio de Janeiro</v>
      </c>
      <c r="J48" s="24">
        <f t="shared" si="26"/>
        <v>63.52</v>
      </c>
      <c r="K48" s="185" t="str">
        <f t="shared" si="27"/>
        <v>|||||||||||||||||||||||||||||||</v>
      </c>
      <c r="L48" s="185">
        <f>INDEX(tblCities!$H$3:$L$52,A48,$B$4)</f>
        <v>1</v>
      </c>
      <c r="N48" s="14">
        <f t="shared" si="28"/>
        <v>64.21</v>
      </c>
      <c r="O48" s="14">
        <f>RANK(N48,N$14:N$63)+COUNTIF(N$14:N48,N48)-1</f>
        <v>23</v>
      </c>
      <c r="P48" s="24">
        <f t="shared" si="29"/>
        <v>42</v>
      </c>
      <c r="Q48" s="24">
        <f t="shared" si="30"/>
        <v>35</v>
      </c>
      <c r="R48" s="24">
        <f t="shared" si="31"/>
        <v>2</v>
      </c>
      <c r="S48" s="14">
        <f t="shared" si="32"/>
        <v>35</v>
      </c>
      <c r="T48" s="24" t="str">
        <f t="shared" si="33"/>
        <v>Rome</v>
      </c>
      <c r="U48" s="24">
        <f t="shared" si="34"/>
        <v>56.67</v>
      </c>
      <c r="V48" s="185" t="str">
        <f t="shared" si="35"/>
        <v>||||||||||||||||||||||||||||</v>
      </c>
      <c r="X48" s="14">
        <f t="shared" si="36"/>
        <v>56.81</v>
      </c>
      <c r="Y48" s="14">
        <f>RANK(X48,X$14:X$63)+COUNTIF(X$14:X48,X48)-1</f>
        <v>39</v>
      </c>
      <c r="Z48" s="24">
        <f t="shared" si="37"/>
        <v>33</v>
      </c>
      <c r="AA48" s="24">
        <f t="shared" si="38"/>
        <v>35</v>
      </c>
      <c r="AB48" s="24">
        <f t="shared" si="39"/>
        <v>2</v>
      </c>
      <c r="AC48" s="14">
        <f t="shared" si="40"/>
        <v>35</v>
      </c>
      <c r="AD48" s="24" t="str">
        <f t="shared" si="41"/>
        <v>Bangkok</v>
      </c>
      <c r="AE48" s="24">
        <f t="shared" si="42"/>
        <v>60.5</v>
      </c>
      <c r="AF48" s="185" t="str">
        <f t="shared" si="43"/>
        <v>||||||||||||||||||||||||||||||</v>
      </c>
      <c r="AH48" s="14">
        <f t="shared" si="44"/>
        <v>73.4</v>
      </c>
      <c r="AI48" s="14">
        <f>RANK(AH48,AH$14:AH$63)+COUNTIF(AH$14:AH48,AH48)-1</f>
        <v>39</v>
      </c>
      <c r="AJ48" s="24">
        <f t="shared" si="45"/>
        <v>4</v>
      </c>
      <c r="AK48" s="24">
        <f t="shared" si="46"/>
        <v>35</v>
      </c>
      <c r="AL48" s="24">
        <f t="shared" si="47"/>
        <v>2</v>
      </c>
      <c r="AM48" s="14">
        <f t="shared" si="48"/>
        <v>35</v>
      </c>
      <c r="AN48" s="24" t="str">
        <f t="shared" si="49"/>
        <v>Sao Paulo</v>
      </c>
      <c r="AO48" s="24">
        <f t="shared" si="50"/>
        <v>76.41</v>
      </c>
      <c r="AP48" s="185" t="str">
        <f t="shared" si="51"/>
        <v>||||||||||||||||||||||||||||||||||||||</v>
      </c>
      <c r="AR48" s="14">
        <f t="shared" si="52"/>
        <v>59.47</v>
      </c>
      <c r="AS48" s="14">
        <f>RANK(AR48,AR$14:AR$63)+COUNTIF(AR$14:AR48,AR48)-1</f>
        <v>43</v>
      </c>
      <c r="AT48" s="24">
        <f t="shared" si="53"/>
        <v>23</v>
      </c>
      <c r="AU48" s="24">
        <f t="shared" si="54"/>
        <v>35</v>
      </c>
      <c r="AV48" s="24">
        <f t="shared" si="55"/>
        <v>2</v>
      </c>
      <c r="AW48" s="14">
        <f t="shared" si="56"/>
        <v>35</v>
      </c>
      <c r="AX48" s="24" t="str">
        <f t="shared" si="57"/>
        <v>Tianjin</v>
      </c>
      <c r="AY48" s="24">
        <f t="shared" si="58"/>
        <v>62.46</v>
      </c>
      <c r="AZ48" s="185" t="str">
        <f t="shared" si="59"/>
        <v>|||||||||||||||||||||||||||||||</v>
      </c>
    </row>
    <row r="49" spans="1:52">
      <c r="A49" s="24">
        <v>36</v>
      </c>
      <c r="B49" s="24" t="str">
        <f>tblCities!C38</f>
        <v>Doha</v>
      </c>
      <c r="C49" s="14">
        <f t="shared" si="20"/>
        <v>66.41</v>
      </c>
      <c r="D49" s="14">
        <f>RANK(C49,C$14:C$63)+COUNTIF(C$14:C49,C49)-1</f>
        <v>29</v>
      </c>
      <c r="E49" s="24">
        <f t="shared" si="21"/>
        <v>35</v>
      </c>
      <c r="F49" s="24">
        <f t="shared" si="22"/>
        <v>36</v>
      </c>
      <c r="G49" s="24">
        <f t="shared" si="23"/>
        <v>2</v>
      </c>
      <c r="H49" s="14">
        <f t="shared" si="24"/>
        <v>36</v>
      </c>
      <c r="I49" s="24" t="str">
        <f t="shared" si="25"/>
        <v>Kuwait City</v>
      </c>
      <c r="J49" s="24">
        <f t="shared" si="26"/>
        <v>63.47</v>
      </c>
      <c r="K49" s="185" t="str">
        <f t="shared" si="27"/>
        <v>|||||||||||||||||||||||||||||||</v>
      </c>
      <c r="L49" s="185">
        <f>INDEX(tblCities!$H$3:$L$52,A49,$B$4)</f>
        <v>1</v>
      </c>
      <c r="N49" s="14">
        <f t="shared" si="28"/>
        <v>58.73</v>
      </c>
      <c r="O49" s="14">
        <f>RANK(N49,N$14:N$63)+COUNTIF(N$14:N49,N49)-1</f>
        <v>31</v>
      </c>
      <c r="P49" s="24">
        <f t="shared" si="29"/>
        <v>20</v>
      </c>
      <c r="Q49" s="24">
        <f t="shared" si="30"/>
        <v>36</v>
      </c>
      <c r="R49" s="24">
        <f t="shared" si="31"/>
        <v>2</v>
      </c>
      <c r="S49" s="14">
        <f t="shared" si="32"/>
        <v>36</v>
      </c>
      <c r="T49" s="24" t="str">
        <f t="shared" si="33"/>
        <v>Shanghai</v>
      </c>
      <c r="U49" s="24">
        <f t="shared" si="34"/>
        <v>56.14</v>
      </c>
      <c r="V49" s="185" t="str">
        <f t="shared" si="35"/>
        <v>||||||||||||||||||||||||||||</v>
      </c>
      <c r="X49" s="14">
        <f t="shared" si="36"/>
        <v>54.16</v>
      </c>
      <c r="Y49" s="14">
        <f>RANK(X49,X$14:X$63)+COUNTIF(X$14:X49,X49)-1</f>
        <v>41</v>
      </c>
      <c r="Z49" s="24">
        <f t="shared" si="37"/>
        <v>4</v>
      </c>
      <c r="AA49" s="24">
        <f t="shared" si="38"/>
        <v>36</v>
      </c>
      <c r="AB49" s="24">
        <f t="shared" si="39"/>
        <v>2</v>
      </c>
      <c r="AC49" s="14">
        <f t="shared" si="40"/>
        <v>36</v>
      </c>
      <c r="AD49" s="24" t="str">
        <f t="shared" si="41"/>
        <v>Sao Paulo</v>
      </c>
      <c r="AE49" s="24">
        <f t="shared" si="42"/>
        <v>60.37</v>
      </c>
      <c r="AF49" s="185" t="str">
        <f t="shared" si="43"/>
        <v>||||||||||||||||||||||||||||||</v>
      </c>
      <c r="AH49" s="14">
        <f t="shared" si="44"/>
        <v>76.34</v>
      </c>
      <c r="AI49" s="14">
        <f>RANK(AH49,AH$14:AH$63)+COUNTIF(AH$14:AH49,AH49)-1</f>
        <v>36</v>
      </c>
      <c r="AJ49" s="24">
        <f t="shared" si="45"/>
        <v>36</v>
      </c>
      <c r="AK49" s="24">
        <f t="shared" si="46"/>
        <v>36</v>
      </c>
      <c r="AL49" s="24">
        <f t="shared" si="47"/>
        <v>4</v>
      </c>
      <c r="AM49" s="14">
        <f t="shared" si="48"/>
        <v>36</v>
      </c>
      <c r="AN49" s="24" t="str">
        <f t="shared" si="49"/>
        <v>Doha</v>
      </c>
      <c r="AO49" s="24">
        <f t="shared" si="50"/>
        <v>76.34</v>
      </c>
      <c r="AP49" s="185" t="str">
        <f t="shared" si="51"/>
        <v>||||||||||||||||||||||||||||||||||||||</v>
      </c>
      <c r="AR49" s="14">
        <f t="shared" si="52"/>
        <v>76.41</v>
      </c>
      <c r="AS49" s="14">
        <f>RANK(AR49,AR$14:AR$63)+COUNTIF(AR$14:AR49,AR49)-1</f>
        <v>14</v>
      </c>
      <c r="AT49" s="24">
        <f t="shared" si="53"/>
        <v>3</v>
      </c>
      <c r="AU49" s="24">
        <f t="shared" si="54"/>
        <v>36</v>
      </c>
      <c r="AV49" s="24">
        <f t="shared" si="55"/>
        <v>2</v>
      </c>
      <c r="AW49" s="14">
        <f t="shared" si="56"/>
        <v>36</v>
      </c>
      <c r="AX49" s="24" t="str">
        <f t="shared" si="57"/>
        <v>Buenos Aires</v>
      </c>
      <c r="AY49" s="24">
        <f t="shared" si="58"/>
        <v>62.25</v>
      </c>
      <c r="AZ49" s="185" t="str">
        <f t="shared" si="59"/>
        <v>|||||||||||||||||||||||||||||||</v>
      </c>
    </row>
    <row r="50" spans="1:52">
      <c r="A50" s="24">
        <v>37</v>
      </c>
      <c r="B50" s="24" t="str">
        <f>tblCities!C39</f>
        <v>Riyadh</v>
      </c>
      <c r="C50" s="14">
        <f t="shared" si="20"/>
        <v>57.09</v>
      </c>
      <c r="D50" s="14">
        <f>RANK(C50,C$14:C$63)+COUNTIF(C$14:C50,C50)-1</f>
        <v>46</v>
      </c>
      <c r="E50" s="24">
        <f t="shared" si="21"/>
        <v>19</v>
      </c>
      <c r="F50" s="24">
        <f t="shared" si="22"/>
        <v>37</v>
      </c>
      <c r="G50" s="24">
        <f t="shared" si="23"/>
        <v>2</v>
      </c>
      <c r="H50" s="14">
        <f t="shared" si="24"/>
        <v>37</v>
      </c>
      <c r="I50" s="24" t="str">
        <f t="shared" si="25"/>
        <v>Beijing </v>
      </c>
      <c r="J50" s="24">
        <f t="shared" si="26"/>
        <v>63.25</v>
      </c>
      <c r="K50" s="185" t="str">
        <f t="shared" si="27"/>
        <v>|||||||||||||||||||||||||||||||</v>
      </c>
      <c r="L50" s="185">
        <f>INDEX(tblCities!$H$3:$L$52,A50,$B$4)</f>
        <v>1</v>
      </c>
      <c r="N50" s="14">
        <f t="shared" si="28"/>
        <v>53.26</v>
      </c>
      <c r="O50" s="14">
        <f>RANK(N50,N$14:N$63)+COUNTIF(N$14:N50,N50)-1</f>
        <v>43</v>
      </c>
      <c r="P50" s="24">
        <f t="shared" si="29"/>
        <v>22</v>
      </c>
      <c r="Q50" s="24">
        <f t="shared" si="30"/>
        <v>37</v>
      </c>
      <c r="R50" s="24">
        <f t="shared" si="31"/>
        <v>2</v>
      </c>
      <c r="S50" s="14">
        <f t="shared" si="32"/>
        <v>37</v>
      </c>
      <c r="T50" s="24" t="str">
        <f t="shared" si="33"/>
        <v>Guangzhou</v>
      </c>
      <c r="U50" s="24">
        <f t="shared" si="34"/>
        <v>55.14</v>
      </c>
      <c r="V50" s="185" t="str">
        <f t="shared" si="35"/>
        <v>|||||||||||||||||||||||||||</v>
      </c>
      <c r="X50" s="14">
        <f t="shared" si="36"/>
        <v>53.33</v>
      </c>
      <c r="Y50" s="14">
        <f>RANK(X50,X$14:X$63)+COUNTIF(X$14:X50,X50)-1</f>
        <v>43</v>
      </c>
      <c r="Z50" s="24">
        <f t="shared" si="37"/>
        <v>22</v>
      </c>
      <c r="AA50" s="24">
        <f t="shared" si="38"/>
        <v>37</v>
      </c>
      <c r="AB50" s="24">
        <f t="shared" si="39"/>
        <v>2</v>
      </c>
      <c r="AC50" s="14">
        <f t="shared" si="40"/>
        <v>37</v>
      </c>
      <c r="AD50" s="24" t="str">
        <f t="shared" si="41"/>
        <v>Guangzhou</v>
      </c>
      <c r="AE50" s="24">
        <f t="shared" si="42"/>
        <v>60.07</v>
      </c>
      <c r="AF50" s="185" t="str">
        <f t="shared" si="43"/>
        <v>||||||||||||||||||||||||||||||</v>
      </c>
      <c r="AH50" s="14">
        <f t="shared" si="44"/>
        <v>61.53</v>
      </c>
      <c r="AI50" s="14">
        <f>RANK(AH50,AH$14:AH$63)+COUNTIF(AH$14:AH50,AH50)-1</f>
        <v>44</v>
      </c>
      <c r="AJ50" s="24">
        <f t="shared" si="45"/>
        <v>12</v>
      </c>
      <c r="AK50" s="24">
        <f t="shared" si="46"/>
        <v>37</v>
      </c>
      <c r="AL50" s="24">
        <f t="shared" si="47"/>
        <v>2</v>
      </c>
      <c r="AM50" s="14">
        <f t="shared" si="48"/>
        <v>37</v>
      </c>
      <c r="AN50" s="24" t="str">
        <f t="shared" si="49"/>
        <v>Lima</v>
      </c>
      <c r="AO50" s="24">
        <f t="shared" si="50"/>
        <v>75.69</v>
      </c>
      <c r="AP50" s="185" t="str">
        <f t="shared" si="51"/>
        <v>|||||||||||||||||||||||||||||||||||||</v>
      </c>
      <c r="AR50" s="14">
        <f t="shared" si="52"/>
        <v>60.26</v>
      </c>
      <c r="AS50" s="14">
        <f>RANK(AR50,AR$14:AR$63)+COUNTIF(AR$14:AR50,AR50)-1</f>
        <v>42</v>
      </c>
      <c r="AT50" s="24">
        <f t="shared" si="53"/>
        <v>11</v>
      </c>
      <c r="AU50" s="24">
        <f t="shared" si="54"/>
        <v>37</v>
      </c>
      <c r="AV50" s="24">
        <f t="shared" si="55"/>
        <v>2</v>
      </c>
      <c r="AW50" s="14">
        <f t="shared" si="56"/>
        <v>37</v>
      </c>
      <c r="AX50" s="24" t="str">
        <f t="shared" si="57"/>
        <v>Mexico City</v>
      </c>
      <c r="AY50" s="24">
        <f t="shared" si="58"/>
        <v>62.07</v>
      </c>
      <c r="AZ50" s="185" t="str">
        <f t="shared" si="59"/>
        <v>|||||||||||||||||||||||||||||||</v>
      </c>
    </row>
    <row r="51" spans="1:52">
      <c r="A51" s="24">
        <v>38</v>
      </c>
      <c r="B51" s="24" t="str">
        <f>tblCities!C40</f>
        <v>Abu Dhabi</v>
      </c>
      <c r="C51" s="14">
        <f t="shared" si="20"/>
        <v>69.83</v>
      </c>
      <c r="D51" s="14">
        <f>RANK(C51,C$14:C$63)+COUNTIF(C$14:C51,C51)-1</f>
        <v>25</v>
      </c>
      <c r="E51" s="24">
        <f t="shared" si="21"/>
        <v>22</v>
      </c>
      <c r="F51" s="24">
        <f t="shared" si="22"/>
        <v>38</v>
      </c>
      <c r="G51" s="24">
        <f t="shared" si="23"/>
        <v>2</v>
      </c>
      <c r="H51" s="14">
        <f t="shared" si="24"/>
        <v>38</v>
      </c>
      <c r="I51" s="24" t="str">
        <f t="shared" si="25"/>
        <v>Guangzhou</v>
      </c>
      <c r="J51" s="24">
        <f t="shared" si="26"/>
        <v>62.79</v>
      </c>
      <c r="K51" s="185" t="str">
        <f t="shared" si="27"/>
        <v>|||||||||||||||||||||||||||||||</v>
      </c>
      <c r="L51" s="185">
        <f>INDEX(tblCities!$H$3:$L$52,A51,$B$4)</f>
        <v>1</v>
      </c>
      <c r="N51" s="14">
        <f t="shared" si="28"/>
        <v>73.71</v>
      </c>
      <c r="O51" s="14">
        <f>RANK(N51,N$14:N$63)+COUNTIF(N$14:N51,N51)-1</f>
        <v>9</v>
      </c>
      <c r="P51" s="24">
        <f t="shared" si="29"/>
        <v>12</v>
      </c>
      <c r="Q51" s="24">
        <f t="shared" si="30"/>
        <v>38</v>
      </c>
      <c r="R51" s="24">
        <f t="shared" si="31"/>
        <v>2</v>
      </c>
      <c r="S51" s="14">
        <f t="shared" si="32"/>
        <v>38</v>
      </c>
      <c r="T51" s="24" t="str">
        <f t="shared" si="33"/>
        <v>Lima</v>
      </c>
      <c r="U51" s="24">
        <f t="shared" si="34"/>
        <v>55.09</v>
      </c>
      <c r="V51" s="185" t="str">
        <f t="shared" si="35"/>
        <v>|||||||||||||||||||||||||||</v>
      </c>
      <c r="X51" s="14">
        <f t="shared" si="36"/>
        <v>52.06</v>
      </c>
      <c r="Y51" s="14">
        <f>RANK(X51,X$14:X$63)+COUNTIF(X$14:X51,X51)-1</f>
        <v>45</v>
      </c>
      <c r="Z51" s="24">
        <f t="shared" si="37"/>
        <v>5</v>
      </c>
      <c r="AA51" s="24">
        <f t="shared" si="38"/>
        <v>38</v>
      </c>
      <c r="AB51" s="24">
        <f t="shared" si="39"/>
        <v>2</v>
      </c>
      <c r="AC51" s="14">
        <f t="shared" si="40"/>
        <v>38</v>
      </c>
      <c r="AD51" s="24" t="str">
        <f t="shared" si="41"/>
        <v>Rio de Janeiro</v>
      </c>
      <c r="AE51" s="24">
        <f t="shared" si="42"/>
        <v>57.48</v>
      </c>
      <c r="AF51" s="185" t="str">
        <f t="shared" si="43"/>
        <v>||||||||||||||||||||||||||||</v>
      </c>
      <c r="AH51" s="14">
        <f t="shared" si="44"/>
        <v>86.16</v>
      </c>
      <c r="AI51" s="14">
        <f>RANK(AH51,AH$14:AH$63)+COUNTIF(AH$14:AH51,AH51)-1</f>
        <v>11</v>
      </c>
      <c r="AJ51" s="24">
        <f t="shared" si="45"/>
        <v>5</v>
      </c>
      <c r="AK51" s="24">
        <f t="shared" si="46"/>
        <v>38</v>
      </c>
      <c r="AL51" s="24">
        <f t="shared" si="47"/>
        <v>2</v>
      </c>
      <c r="AM51" s="14">
        <f t="shared" si="48"/>
        <v>38</v>
      </c>
      <c r="AN51" s="24" t="str">
        <f t="shared" si="49"/>
        <v>Rio de Janeiro</v>
      </c>
      <c r="AO51" s="24">
        <f t="shared" si="50"/>
        <v>74.4</v>
      </c>
      <c r="AP51" s="185" t="str">
        <f t="shared" si="51"/>
        <v>|||||||||||||||||||||||||||||||||||||</v>
      </c>
      <c r="AR51" s="14">
        <f t="shared" si="52"/>
        <v>67.39</v>
      </c>
      <c r="AS51" s="14">
        <f>RANK(AR51,AR$14:AR$63)+COUNTIF(AR$14:AR51,AR51)-1</f>
        <v>32</v>
      </c>
      <c r="AT51" s="24">
        <f t="shared" si="53"/>
        <v>21</v>
      </c>
      <c r="AU51" s="24">
        <f t="shared" si="54"/>
        <v>38</v>
      </c>
      <c r="AV51" s="24">
        <f t="shared" si="55"/>
        <v>2</v>
      </c>
      <c r="AW51" s="14">
        <f t="shared" si="56"/>
        <v>38</v>
      </c>
      <c r="AX51" s="24" t="str">
        <f t="shared" si="57"/>
        <v>Shenzhen</v>
      </c>
      <c r="AY51" s="24">
        <f t="shared" si="58"/>
        <v>61.96</v>
      </c>
      <c r="AZ51" s="185" t="str">
        <f t="shared" si="59"/>
        <v>||||||||||||||||||||||||||||||</v>
      </c>
    </row>
    <row r="52" spans="1:52">
      <c r="A52" s="24">
        <v>39</v>
      </c>
      <c r="B52" s="24" t="str">
        <f>tblCities!C41</f>
        <v>Brussels</v>
      </c>
      <c r="C52" s="14">
        <f t="shared" si="20"/>
        <v>71.72</v>
      </c>
      <c r="D52" s="14">
        <f>RANK(C52,C$14:C$63)+COUNTIF(C$14:C52,C52)-1</f>
        <v>22</v>
      </c>
      <c r="E52" s="24">
        <f t="shared" si="21"/>
        <v>33</v>
      </c>
      <c r="F52" s="24">
        <f t="shared" si="22"/>
        <v>39</v>
      </c>
      <c r="G52" s="24">
        <f t="shared" si="23"/>
        <v>2</v>
      </c>
      <c r="H52" s="14">
        <f t="shared" si="24"/>
        <v>39</v>
      </c>
      <c r="I52" s="24" t="str">
        <f t="shared" si="25"/>
        <v>Bangkok</v>
      </c>
      <c r="J52" s="24">
        <f t="shared" si="26"/>
        <v>62.69</v>
      </c>
      <c r="K52" s="185" t="str">
        <f t="shared" si="27"/>
        <v>|||||||||||||||||||||||||||||||</v>
      </c>
      <c r="L52" s="185">
        <f>INDEX(tblCities!$H$3:$L$52,A52,$B$4)</f>
        <v>1</v>
      </c>
      <c r="N52" s="14">
        <f t="shared" si="28"/>
        <v>64.6</v>
      </c>
      <c r="O52" s="14">
        <f>RANK(N52,N$14:N$63)+COUNTIF(N$14:N52,N52)-1</f>
        <v>22</v>
      </c>
      <c r="P52" s="24">
        <f t="shared" si="29"/>
        <v>4</v>
      </c>
      <c r="Q52" s="24">
        <f t="shared" si="30"/>
        <v>39</v>
      </c>
      <c r="R52" s="24">
        <f t="shared" si="31"/>
        <v>2</v>
      </c>
      <c r="S52" s="14">
        <f t="shared" si="32"/>
        <v>39</v>
      </c>
      <c r="T52" s="24" t="str">
        <f t="shared" si="33"/>
        <v>Sao Paulo</v>
      </c>
      <c r="U52" s="24">
        <f t="shared" si="34"/>
        <v>54.93</v>
      </c>
      <c r="V52" s="185" t="str">
        <f t="shared" si="35"/>
        <v>|||||||||||||||||||||||||||</v>
      </c>
      <c r="X52" s="14">
        <f t="shared" si="36"/>
        <v>77.63</v>
      </c>
      <c r="Y52" s="14">
        <f>RANK(X52,X$14:X$63)+COUNTIF(X$14:X52,X52)-1</f>
        <v>3</v>
      </c>
      <c r="Z52" s="24">
        <f t="shared" si="37"/>
        <v>35</v>
      </c>
      <c r="AA52" s="24">
        <f t="shared" si="38"/>
        <v>39</v>
      </c>
      <c r="AB52" s="24">
        <f t="shared" si="39"/>
        <v>2</v>
      </c>
      <c r="AC52" s="14">
        <f t="shared" si="40"/>
        <v>39</v>
      </c>
      <c r="AD52" s="24" t="str">
        <f t="shared" si="41"/>
        <v>Kuwait City</v>
      </c>
      <c r="AE52" s="24">
        <f t="shared" si="42"/>
        <v>56.81</v>
      </c>
      <c r="AF52" s="185" t="str">
        <f t="shared" si="43"/>
        <v>||||||||||||||||||||||||||||</v>
      </c>
      <c r="AH52" s="14">
        <f t="shared" si="44"/>
        <v>84.34</v>
      </c>
      <c r="AI52" s="14">
        <f>RANK(AH52,AH$14:AH$63)+COUNTIF(AH$14:AH52,AH52)-1</f>
        <v>17</v>
      </c>
      <c r="AJ52" s="24">
        <f t="shared" si="45"/>
        <v>35</v>
      </c>
      <c r="AK52" s="24">
        <f t="shared" si="46"/>
        <v>39</v>
      </c>
      <c r="AL52" s="24">
        <f t="shared" si="47"/>
        <v>2</v>
      </c>
      <c r="AM52" s="14">
        <f t="shared" si="48"/>
        <v>39</v>
      </c>
      <c r="AN52" s="24" t="str">
        <f t="shared" si="49"/>
        <v>Kuwait City</v>
      </c>
      <c r="AO52" s="24">
        <f t="shared" si="50"/>
        <v>73.4</v>
      </c>
      <c r="AP52" s="185" t="str">
        <f t="shared" si="51"/>
        <v>||||||||||||||||||||||||||||||||||||</v>
      </c>
      <c r="AR52" s="14">
        <f t="shared" si="52"/>
        <v>60.31</v>
      </c>
      <c r="AS52" s="14">
        <f>RANK(AR52,AR$14:AR$63)+COUNTIF(AR$14:AR52,AR52)-1</f>
        <v>41</v>
      </c>
      <c r="AT52" s="24">
        <f t="shared" si="53"/>
        <v>2</v>
      </c>
      <c r="AU52" s="24">
        <f t="shared" si="54"/>
        <v>39</v>
      </c>
      <c r="AV52" s="24">
        <f t="shared" si="55"/>
        <v>2</v>
      </c>
      <c r="AW52" s="14">
        <f t="shared" si="56"/>
        <v>39</v>
      </c>
      <c r="AX52" s="24" t="str">
        <f t="shared" si="57"/>
        <v>Johannesburg</v>
      </c>
      <c r="AY52" s="24">
        <f t="shared" si="58"/>
        <v>61.29</v>
      </c>
      <c r="AZ52" s="185" t="str">
        <f t="shared" si="59"/>
        <v>||||||||||||||||||||||||||||||</v>
      </c>
    </row>
    <row r="53" spans="1:52">
      <c r="A53" s="24">
        <v>40</v>
      </c>
      <c r="B53" s="24" t="str">
        <f>tblCities!C42</f>
        <v>Paris</v>
      </c>
      <c r="C53" s="14">
        <f t="shared" si="20"/>
        <v>71.21</v>
      </c>
      <c r="D53" s="14">
        <f>RANK(C53,C$14:C$63)+COUNTIF(C$14:C53,C53)-1</f>
        <v>23</v>
      </c>
      <c r="E53" s="24">
        <f t="shared" si="21"/>
        <v>4</v>
      </c>
      <c r="F53" s="24">
        <f t="shared" si="22"/>
        <v>40</v>
      </c>
      <c r="G53" s="24">
        <f t="shared" si="23"/>
        <v>2</v>
      </c>
      <c r="H53" s="14">
        <f t="shared" si="24"/>
        <v>40</v>
      </c>
      <c r="I53" s="24" t="str">
        <f t="shared" si="25"/>
        <v>Sao Paulo</v>
      </c>
      <c r="J53" s="24">
        <f t="shared" si="26"/>
        <v>62.33</v>
      </c>
      <c r="K53" s="185" t="str">
        <f t="shared" si="27"/>
        <v>|||||||||||||||||||||||||||||||</v>
      </c>
      <c r="L53" s="185">
        <f>INDEX(tblCities!$H$3:$L$52,A53,$B$4)</f>
        <v>1</v>
      </c>
      <c r="N53" s="14">
        <f t="shared" si="28"/>
        <v>58.4</v>
      </c>
      <c r="O53" s="14">
        <f>RANK(N53,N$14:N$63)+COUNTIF(N$14:N53,N53)-1</f>
        <v>32</v>
      </c>
      <c r="P53" s="24">
        <f t="shared" si="29"/>
        <v>5</v>
      </c>
      <c r="Q53" s="24">
        <f t="shared" si="30"/>
        <v>40</v>
      </c>
      <c r="R53" s="24">
        <f t="shared" si="31"/>
        <v>2</v>
      </c>
      <c r="S53" s="14">
        <f t="shared" si="32"/>
        <v>40</v>
      </c>
      <c r="T53" s="24" t="str">
        <f t="shared" si="33"/>
        <v>Rio de Janeiro</v>
      </c>
      <c r="U53" s="24">
        <f t="shared" si="34"/>
        <v>54.74</v>
      </c>
      <c r="V53" s="185" t="str">
        <f t="shared" si="35"/>
        <v>|||||||||||||||||||||||||||</v>
      </c>
      <c r="X53" s="14">
        <f t="shared" si="36"/>
        <v>76.95</v>
      </c>
      <c r="Y53" s="14">
        <f>RANK(X53,X$14:X$63)+COUNTIF(X$14:X53,X53)-1</f>
        <v>5</v>
      </c>
      <c r="Z53" s="24">
        <f t="shared" si="37"/>
        <v>12</v>
      </c>
      <c r="AA53" s="24">
        <f t="shared" si="38"/>
        <v>40</v>
      </c>
      <c r="AB53" s="24">
        <f t="shared" si="39"/>
        <v>2</v>
      </c>
      <c r="AC53" s="14">
        <f t="shared" si="40"/>
        <v>40</v>
      </c>
      <c r="AD53" s="24" t="str">
        <f t="shared" si="41"/>
        <v>Lima</v>
      </c>
      <c r="AE53" s="24">
        <f t="shared" si="42"/>
        <v>54.44</v>
      </c>
      <c r="AF53" s="185" t="str">
        <f t="shared" si="43"/>
        <v>|||||||||||||||||||||||||||</v>
      </c>
      <c r="AH53" s="14">
        <f t="shared" si="44"/>
        <v>78.22</v>
      </c>
      <c r="AI53" s="14">
        <f>RANK(AH53,AH$14:AH$63)+COUNTIF(AH$14:AH53,AH53)-1</f>
        <v>26</v>
      </c>
      <c r="AJ53" s="24">
        <f t="shared" si="45"/>
        <v>18</v>
      </c>
      <c r="AK53" s="24">
        <f t="shared" si="46"/>
        <v>40</v>
      </c>
      <c r="AL53" s="24">
        <f t="shared" si="47"/>
        <v>2</v>
      </c>
      <c r="AM53" s="14">
        <f t="shared" si="48"/>
        <v>40</v>
      </c>
      <c r="AN53" s="24" t="str">
        <f t="shared" si="49"/>
        <v>Hong Kong</v>
      </c>
      <c r="AO53" s="24">
        <f t="shared" si="50"/>
        <v>71.46</v>
      </c>
      <c r="AP53" s="185" t="str">
        <f t="shared" si="51"/>
        <v>|||||||||||||||||||||||||||||||||||</v>
      </c>
      <c r="AR53" s="14">
        <f t="shared" si="52"/>
        <v>71.29</v>
      </c>
      <c r="AS53" s="14">
        <f>RANK(AR53,AR$14:AR$63)+COUNTIF(AR$14:AR53,AR53)-1</f>
        <v>24</v>
      </c>
      <c r="AT53" s="24">
        <f t="shared" si="53"/>
        <v>42</v>
      </c>
      <c r="AU53" s="24">
        <f t="shared" si="54"/>
        <v>40</v>
      </c>
      <c r="AV53" s="24">
        <f t="shared" si="55"/>
        <v>2</v>
      </c>
      <c r="AW53" s="14">
        <f t="shared" si="56"/>
        <v>40</v>
      </c>
      <c r="AX53" s="24" t="str">
        <f t="shared" si="57"/>
        <v>Rome</v>
      </c>
      <c r="AY53" s="24">
        <f t="shared" si="58"/>
        <v>60.94</v>
      </c>
      <c r="AZ53" s="185" t="str">
        <f t="shared" si="59"/>
        <v>||||||||||||||||||||||||||||||</v>
      </c>
    </row>
    <row r="54" spans="1:52">
      <c r="A54" s="24">
        <v>41</v>
      </c>
      <c r="B54" s="24" t="str">
        <f>tblCities!C43</f>
        <v>Frankfurt</v>
      </c>
      <c r="C54" s="14">
        <f t="shared" si="20"/>
        <v>73.05</v>
      </c>
      <c r="D54" s="14">
        <f>RANK(C54,C$14:C$63)+COUNTIF(C$14:C54,C54)-1</f>
        <v>20</v>
      </c>
      <c r="E54" s="24">
        <f t="shared" si="21"/>
        <v>49</v>
      </c>
      <c r="F54" s="24">
        <f t="shared" si="22"/>
        <v>41</v>
      </c>
      <c r="G54" s="24">
        <f t="shared" si="23"/>
        <v>2</v>
      </c>
      <c r="H54" s="14">
        <f t="shared" si="24"/>
        <v>41</v>
      </c>
      <c r="I54" s="24" t="str">
        <f t="shared" si="25"/>
        <v>Istanbul</v>
      </c>
      <c r="J54" s="24">
        <f t="shared" si="26"/>
        <v>62.25</v>
      </c>
      <c r="K54" s="185" t="str">
        <f t="shared" si="27"/>
        <v>|||||||||||||||||||||||||||||||</v>
      </c>
      <c r="L54" s="185">
        <f>INDEX(tblCities!$H$3:$L$52,A54,$B$4)</f>
        <v>1</v>
      </c>
      <c r="N54" s="14">
        <f t="shared" si="28"/>
        <v>57.45</v>
      </c>
      <c r="O54" s="14">
        <f>RANK(N54,N$14:N$63)+COUNTIF(N$14:N54,N54)-1</f>
        <v>33</v>
      </c>
      <c r="P54" s="24">
        <f t="shared" si="29"/>
        <v>23</v>
      </c>
      <c r="Q54" s="24">
        <f t="shared" si="30"/>
        <v>41</v>
      </c>
      <c r="R54" s="24">
        <f t="shared" si="31"/>
        <v>2</v>
      </c>
      <c r="S54" s="14">
        <f t="shared" si="32"/>
        <v>41</v>
      </c>
      <c r="T54" s="24" t="str">
        <f t="shared" si="33"/>
        <v>Tianjin</v>
      </c>
      <c r="U54" s="24">
        <f t="shared" si="34"/>
        <v>54.26</v>
      </c>
      <c r="V54" s="185" t="str">
        <f t="shared" si="35"/>
        <v>|||||||||||||||||||||||||||</v>
      </c>
      <c r="X54" s="14">
        <f t="shared" si="36"/>
        <v>77.38</v>
      </c>
      <c r="Y54" s="14">
        <f>RANK(X54,X$14:X$63)+COUNTIF(X$14:X54,X54)-1</f>
        <v>4</v>
      </c>
      <c r="Z54" s="24">
        <f t="shared" si="37"/>
        <v>36</v>
      </c>
      <c r="AA54" s="24">
        <f t="shared" si="38"/>
        <v>41</v>
      </c>
      <c r="AB54" s="24">
        <f t="shared" si="39"/>
        <v>4</v>
      </c>
      <c r="AC54" s="14">
        <f t="shared" si="40"/>
        <v>41</v>
      </c>
      <c r="AD54" s="24" t="str">
        <f t="shared" si="41"/>
        <v>Doha</v>
      </c>
      <c r="AE54" s="24">
        <f t="shared" si="42"/>
        <v>54.16</v>
      </c>
      <c r="AF54" s="185" t="str">
        <f t="shared" si="43"/>
        <v>|||||||||||||||||||||||||||</v>
      </c>
      <c r="AH54" s="14">
        <f t="shared" si="44"/>
        <v>82.79</v>
      </c>
      <c r="AI54" s="14">
        <f>RANK(AH54,AH$14:AH$63)+COUNTIF(AH$14:AH54,AH54)-1</f>
        <v>20</v>
      </c>
      <c r="AJ54" s="24">
        <f t="shared" si="45"/>
        <v>45</v>
      </c>
      <c r="AK54" s="24">
        <f t="shared" si="46"/>
        <v>41</v>
      </c>
      <c r="AL54" s="24">
        <f t="shared" si="47"/>
        <v>2</v>
      </c>
      <c r="AM54" s="14">
        <f t="shared" si="48"/>
        <v>41</v>
      </c>
      <c r="AN54" s="24" t="str">
        <f t="shared" si="49"/>
        <v>Moscow</v>
      </c>
      <c r="AO54" s="24">
        <f t="shared" si="50"/>
        <v>70.65</v>
      </c>
      <c r="AP54" s="185" t="str">
        <f t="shared" si="51"/>
        <v>|||||||||||||||||||||||||||||||||||</v>
      </c>
      <c r="AR54" s="14">
        <f t="shared" si="52"/>
        <v>74.57</v>
      </c>
      <c r="AS54" s="14">
        <f>RANK(AR54,AR$14:AR$63)+COUNTIF(AR$14:AR54,AR54)-1</f>
        <v>16</v>
      </c>
      <c r="AT54" s="24">
        <f t="shared" si="53"/>
        <v>39</v>
      </c>
      <c r="AU54" s="24">
        <f t="shared" si="54"/>
        <v>41</v>
      </c>
      <c r="AV54" s="24">
        <f t="shared" si="55"/>
        <v>2</v>
      </c>
      <c r="AW54" s="14">
        <f t="shared" si="56"/>
        <v>41</v>
      </c>
      <c r="AX54" s="24" t="str">
        <f t="shared" si="57"/>
        <v>Brussels</v>
      </c>
      <c r="AY54" s="24">
        <f t="shared" si="58"/>
        <v>60.31</v>
      </c>
      <c r="AZ54" s="185" t="str">
        <f t="shared" si="59"/>
        <v>||||||||||||||||||||||||||||||</v>
      </c>
    </row>
    <row r="55" spans="1:52">
      <c r="A55" s="24">
        <v>42</v>
      </c>
      <c r="B55" s="24" t="str">
        <f>tblCities!C44</f>
        <v>Rome</v>
      </c>
      <c r="C55" s="14">
        <f t="shared" si="20"/>
        <v>67.13</v>
      </c>
      <c r="D55" s="14">
        <f>RANK(C55,C$14:C$63)+COUNTIF(C$14:C55,C55)-1</f>
        <v>27</v>
      </c>
      <c r="E55" s="24">
        <f t="shared" si="21"/>
        <v>25</v>
      </c>
      <c r="F55" s="24">
        <f t="shared" si="22"/>
        <v>42</v>
      </c>
      <c r="G55" s="24">
        <f t="shared" si="23"/>
        <v>2</v>
      </c>
      <c r="H55" s="14">
        <f t="shared" si="24"/>
        <v>42</v>
      </c>
      <c r="I55" s="24" t="str">
        <f t="shared" si="25"/>
        <v>Delhi</v>
      </c>
      <c r="J55" s="24">
        <f t="shared" si="26"/>
        <v>61.88</v>
      </c>
      <c r="K55" s="185" t="str">
        <f t="shared" si="27"/>
        <v>||||||||||||||||||||||||||||||</v>
      </c>
      <c r="L55" s="185">
        <f>INDEX(tblCities!$H$3:$L$52,A55,$B$4)</f>
        <v>1</v>
      </c>
      <c r="N55" s="14">
        <f t="shared" si="28"/>
        <v>56.67</v>
      </c>
      <c r="O55" s="14">
        <f>RANK(N55,N$14:N$63)+COUNTIF(N$14:N55,N55)-1</f>
        <v>35</v>
      </c>
      <c r="P55" s="24">
        <f t="shared" si="29"/>
        <v>34</v>
      </c>
      <c r="Q55" s="24">
        <f t="shared" si="30"/>
        <v>42</v>
      </c>
      <c r="R55" s="24">
        <f t="shared" si="31"/>
        <v>2</v>
      </c>
      <c r="S55" s="14">
        <f t="shared" si="32"/>
        <v>42</v>
      </c>
      <c r="T55" s="24" t="str">
        <f t="shared" si="33"/>
        <v>Ho Chi Minh</v>
      </c>
      <c r="U55" s="24">
        <f t="shared" si="34"/>
        <v>53.31</v>
      </c>
      <c r="V55" s="185" t="str">
        <f t="shared" si="35"/>
        <v>||||||||||||||||||||||||||</v>
      </c>
      <c r="X55" s="14">
        <f t="shared" si="36"/>
        <v>67.13</v>
      </c>
      <c r="Y55" s="14">
        <f>RANK(X55,X$14:X$63)+COUNTIF(X$14:X55,X55)-1</f>
        <v>25</v>
      </c>
      <c r="Z55" s="24">
        <f t="shared" si="37"/>
        <v>25</v>
      </c>
      <c r="AA55" s="24">
        <f t="shared" si="38"/>
        <v>42</v>
      </c>
      <c r="AB55" s="24">
        <f t="shared" si="39"/>
        <v>2</v>
      </c>
      <c r="AC55" s="14">
        <f t="shared" si="40"/>
        <v>42</v>
      </c>
      <c r="AD55" s="24" t="str">
        <f t="shared" si="41"/>
        <v>Delhi</v>
      </c>
      <c r="AE55" s="24">
        <f t="shared" si="42"/>
        <v>53.76</v>
      </c>
      <c r="AF55" s="185" t="str">
        <f t="shared" si="43"/>
        <v>||||||||||||||||||||||||||</v>
      </c>
      <c r="AH55" s="14">
        <f t="shared" si="44"/>
        <v>83.77</v>
      </c>
      <c r="AI55" s="14">
        <f>RANK(AH55,AH$14:AH$63)+COUNTIF(AH$14:AH55,AH55)-1</f>
        <v>18</v>
      </c>
      <c r="AJ55" s="24">
        <f t="shared" si="45"/>
        <v>33</v>
      </c>
      <c r="AK55" s="24">
        <f t="shared" si="46"/>
        <v>42</v>
      </c>
      <c r="AL55" s="24">
        <f t="shared" si="47"/>
        <v>2</v>
      </c>
      <c r="AM55" s="14">
        <f t="shared" si="48"/>
        <v>42</v>
      </c>
      <c r="AN55" s="24" t="str">
        <f t="shared" si="49"/>
        <v>Bangkok</v>
      </c>
      <c r="AO55" s="24">
        <f t="shared" si="50"/>
        <v>66.44</v>
      </c>
      <c r="AP55" s="185" t="str">
        <f t="shared" si="51"/>
        <v>|||||||||||||||||||||||||||||||||</v>
      </c>
      <c r="AR55" s="14">
        <f t="shared" si="52"/>
        <v>60.94</v>
      </c>
      <c r="AS55" s="14">
        <f>RANK(AR55,AR$14:AR$63)+COUNTIF(AR$14:AR55,AR55)-1</f>
        <v>40</v>
      </c>
      <c r="AT55" s="24">
        <f t="shared" si="53"/>
        <v>37</v>
      </c>
      <c r="AU55" s="24">
        <f t="shared" si="54"/>
        <v>42</v>
      </c>
      <c r="AV55" s="24">
        <f t="shared" si="55"/>
        <v>2</v>
      </c>
      <c r="AW55" s="14">
        <f t="shared" si="56"/>
        <v>42</v>
      </c>
      <c r="AX55" s="24" t="str">
        <f t="shared" si="57"/>
        <v>Riyadh</v>
      </c>
      <c r="AY55" s="24">
        <f t="shared" si="58"/>
        <v>60.26</v>
      </c>
      <c r="AZ55" s="185" t="str">
        <f t="shared" si="59"/>
        <v>||||||||||||||||||||||||||||||</v>
      </c>
    </row>
    <row r="56" spans="1:52">
      <c r="A56" s="24">
        <v>43</v>
      </c>
      <c r="B56" s="24" t="str">
        <f>tblCities!C45</f>
        <v>Milan</v>
      </c>
      <c r="C56" s="14">
        <f t="shared" si="20"/>
        <v>69.64</v>
      </c>
      <c r="D56" s="14">
        <f>RANK(C56,C$14:C$63)+COUNTIF(C$14:C56,C56)-1</f>
        <v>26</v>
      </c>
      <c r="E56" s="24">
        <f t="shared" si="21"/>
        <v>45</v>
      </c>
      <c r="F56" s="24">
        <f t="shared" si="22"/>
        <v>43</v>
      </c>
      <c r="G56" s="24">
        <f t="shared" si="23"/>
        <v>2</v>
      </c>
      <c r="H56" s="14">
        <f t="shared" si="24"/>
        <v>43</v>
      </c>
      <c r="I56" s="24" t="str">
        <f t="shared" si="25"/>
        <v>Moscow</v>
      </c>
      <c r="J56" s="24">
        <f t="shared" si="26"/>
        <v>61.6</v>
      </c>
      <c r="K56" s="185" t="str">
        <f t="shared" si="27"/>
        <v>||||||||||||||||||||||||||||||</v>
      </c>
      <c r="L56" s="185">
        <f>INDEX(tblCities!$H$3:$L$52,A56,$B$4)</f>
        <v>1</v>
      </c>
      <c r="N56" s="14">
        <f t="shared" si="28"/>
        <v>62.62</v>
      </c>
      <c r="O56" s="14">
        <f>RANK(N56,N$14:N$63)+COUNTIF(N$14:N56,N56)-1</f>
        <v>26</v>
      </c>
      <c r="P56" s="24">
        <f t="shared" si="29"/>
        <v>37</v>
      </c>
      <c r="Q56" s="24">
        <f t="shared" si="30"/>
        <v>43</v>
      </c>
      <c r="R56" s="24">
        <f t="shared" si="31"/>
        <v>2</v>
      </c>
      <c r="S56" s="14">
        <f t="shared" si="32"/>
        <v>43</v>
      </c>
      <c r="T56" s="24" t="str">
        <f t="shared" si="33"/>
        <v>Riyadh</v>
      </c>
      <c r="U56" s="24">
        <f t="shared" si="34"/>
        <v>53.26</v>
      </c>
      <c r="V56" s="185" t="str">
        <f t="shared" si="35"/>
        <v>||||||||||||||||||||||||||</v>
      </c>
      <c r="X56" s="14">
        <f t="shared" si="36"/>
        <v>66.16</v>
      </c>
      <c r="Y56" s="14">
        <f>RANK(X56,X$14:X$63)+COUNTIF(X$14:X56,X56)-1</f>
        <v>27</v>
      </c>
      <c r="Z56" s="24">
        <f t="shared" si="37"/>
        <v>37</v>
      </c>
      <c r="AA56" s="24">
        <f t="shared" si="38"/>
        <v>43</v>
      </c>
      <c r="AB56" s="24">
        <f t="shared" si="39"/>
        <v>2</v>
      </c>
      <c r="AC56" s="14">
        <f t="shared" si="40"/>
        <v>43</v>
      </c>
      <c r="AD56" s="24" t="str">
        <f t="shared" si="41"/>
        <v>Riyadh</v>
      </c>
      <c r="AE56" s="24">
        <f t="shared" si="42"/>
        <v>53.33</v>
      </c>
      <c r="AF56" s="185" t="str">
        <f t="shared" si="43"/>
        <v>||||||||||||||||||||||||||</v>
      </c>
      <c r="AH56" s="14">
        <f t="shared" si="44"/>
        <v>78.91</v>
      </c>
      <c r="AI56" s="14">
        <f>RANK(AH56,AH$14:AH$63)+COUNTIF(AH$14:AH56,AH56)-1</f>
        <v>23</v>
      </c>
      <c r="AJ56" s="24">
        <f t="shared" si="45"/>
        <v>27</v>
      </c>
      <c r="AK56" s="24">
        <f t="shared" si="46"/>
        <v>43</v>
      </c>
      <c r="AL56" s="24">
        <f t="shared" si="47"/>
        <v>2</v>
      </c>
      <c r="AM56" s="14">
        <f t="shared" si="48"/>
        <v>43</v>
      </c>
      <c r="AN56" s="24" t="str">
        <f t="shared" si="49"/>
        <v>Tehran</v>
      </c>
      <c r="AO56" s="24">
        <f t="shared" si="50"/>
        <v>63.98</v>
      </c>
      <c r="AP56" s="185" t="str">
        <f t="shared" si="51"/>
        <v>|||||||||||||||||||||||||||||||</v>
      </c>
      <c r="AR56" s="14">
        <f t="shared" si="52"/>
        <v>70.87</v>
      </c>
      <c r="AS56" s="14">
        <f>RANK(AR56,AR$14:AR$63)+COUNTIF(AR$14:AR56,AR56)-1</f>
        <v>27</v>
      </c>
      <c r="AT56" s="24">
        <f t="shared" si="53"/>
        <v>35</v>
      </c>
      <c r="AU56" s="24">
        <f t="shared" si="54"/>
        <v>43</v>
      </c>
      <c r="AV56" s="24">
        <f t="shared" si="55"/>
        <v>2</v>
      </c>
      <c r="AW56" s="14">
        <f t="shared" si="56"/>
        <v>43</v>
      </c>
      <c r="AX56" s="24" t="str">
        <f t="shared" si="57"/>
        <v>Kuwait City</v>
      </c>
      <c r="AY56" s="24">
        <f t="shared" si="58"/>
        <v>59.47</v>
      </c>
      <c r="AZ56" s="185" t="str">
        <f t="shared" si="59"/>
        <v>|||||||||||||||||||||||||||||</v>
      </c>
    </row>
    <row r="57" spans="1:52">
      <c r="A57" s="24">
        <v>44</v>
      </c>
      <c r="B57" s="24" t="str">
        <f>tblCities!C46</f>
        <v>Amsterdam</v>
      </c>
      <c r="C57" s="14">
        <f t="shared" si="20"/>
        <v>79.19</v>
      </c>
      <c r="D57" s="14">
        <f>RANK(C57,C$14:C$63)+COUNTIF(C$14:C57,C57)-1</f>
        <v>5</v>
      </c>
      <c r="E57" s="24">
        <f t="shared" si="21"/>
        <v>24</v>
      </c>
      <c r="F57" s="24">
        <f t="shared" si="22"/>
        <v>44</v>
      </c>
      <c r="G57" s="24">
        <f t="shared" si="23"/>
        <v>2</v>
      </c>
      <c r="H57" s="14">
        <f t="shared" si="24"/>
        <v>44</v>
      </c>
      <c r="I57" s="24" t="str">
        <f t="shared" si="25"/>
        <v>Mumbai</v>
      </c>
      <c r="J57" s="24">
        <f t="shared" si="26"/>
        <v>60.72</v>
      </c>
      <c r="K57" s="185" t="str">
        <f t="shared" si="27"/>
        <v>||||||||||||||||||||||||||||||</v>
      </c>
      <c r="L57" s="185">
        <f>INDEX(tblCities!$H$3:$L$52,A57,$B$4)</f>
        <v>1</v>
      </c>
      <c r="N57" s="14">
        <f t="shared" si="28"/>
        <v>68.81</v>
      </c>
      <c r="O57" s="14">
        <f>RANK(N57,N$14:N$63)+COUNTIF(N$14:N57,N57)-1</f>
        <v>17</v>
      </c>
      <c r="P57" s="24">
        <f t="shared" si="29"/>
        <v>2</v>
      </c>
      <c r="Q57" s="24">
        <f t="shared" si="30"/>
        <v>44</v>
      </c>
      <c r="R57" s="24">
        <f t="shared" si="31"/>
        <v>2</v>
      </c>
      <c r="S57" s="14">
        <f t="shared" si="32"/>
        <v>44</v>
      </c>
      <c r="T57" s="24" t="str">
        <f t="shared" si="33"/>
        <v>Johannesburg</v>
      </c>
      <c r="U57" s="24">
        <f t="shared" si="34"/>
        <v>52.9</v>
      </c>
      <c r="V57" s="185" t="str">
        <f t="shared" si="35"/>
        <v>||||||||||||||||||||||||||</v>
      </c>
      <c r="X57" s="14">
        <f t="shared" si="36"/>
        <v>74.28</v>
      </c>
      <c r="Y57" s="14">
        <f>RANK(X57,X$14:X$63)+COUNTIF(X$14:X57,X57)-1</f>
        <v>13</v>
      </c>
      <c r="Z57" s="24">
        <f t="shared" si="37"/>
        <v>26</v>
      </c>
      <c r="AA57" s="24">
        <f t="shared" si="38"/>
        <v>44</v>
      </c>
      <c r="AB57" s="24">
        <f t="shared" si="39"/>
        <v>2</v>
      </c>
      <c r="AC57" s="14">
        <f t="shared" si="40"/>
        <v>44</v>
      </c>
      <c r="AD57" s="24" t="str">
        <f t="shared" si="41"/>
        <v>Jakarta</v>
      </c>
      <c r="AE57" s="24">
        <f t="shared" si="42"/>
        <v>53.11</v>
      </c>
      <c r="AF57" s="185" t="str">
        <f t="shared" si="43"/>
        <v>||||||||||||||||||||||||||</v>
      </c>
      <c r="AH57" s="14">
        <f t="shared" si="44"/>
        <v>91.27</v>
      </c>
      <c r="AI57" s="14">
        <f>RANK(AH57,AH$14:AH$63)+COUNTIF(AH$14:AH57,AH57)-1</f>
        <v>4</v>
      </c>
      <c r="AJ57" s="24">
        <f t="shared" si="45"/>
        <v>37</v>
      </c>
      <c r="AK57" s="24">
        <f t="shared" si="46"/>
        <v>44</v>
      </c>
      <c r="AL57" s="24">
        <f t="shared" si="47"/>
        <v>2</v>
      </c>
      <c r="AM57" s="14">
        <f t="shared" si="48"/>
        <v>44</v>
      </c>
      <c r="AN57" s="24" t="str">
        <f t="shared" si="49"/>
        <v>Riyadh</v>
      </c>
      <c r="AO57" s="24">
        <f t="shared" si="50"/>
        <v>61.53</v>
      </c>
      <c r="AP57" s="185" t="str">
        <f t="shared" si="51"/>
        <v>||||||||||||||||||||||||||||||</v>
      </c>
      <c r="AR57" s="14">
        <f t="shared" si="52"/>
        <v>82.39</v>
      </c>
      <c r="AS57" s="14">
        <f>RANK(AR57,AR$14:AR$63)+COUNTIF(AR$14:AR57,AR57)-1</f>
        <v>9</v>
      </c>
      <c r="AT57" s="24">
        <f t="shared" si="53"/>
        <v>22</v>
      </c>
      <c r="AU57" s="24">
        <f t="shared" si="54"/>
        <v>44</v>
      </c>
      <c r="AV57" s="24">
        <f t="shared" si="55"/>
        <v>2</v>
      </c>
      <c r="AW57" s="14">
        <f t="shared" si="56"/>
        <v>44</v>
      </c>
      <c r="AX57" s="24" t="str">
        <f t="shared" si="57"/>
        <v>Guangzhou</v>
      </c>
      <c r="AY57" s="24">
        <f t="shared" si="58"/>
        <v>59.37</v>
      </c>
      <c r="AZ57" s="185" t="str">
        <f t="shared" si="59"/>
        <v>|||||||||||||||||||||||||||||</v>
      </c>
    </row>
    <row r="58" spans="1:52">
      <c r="A58" s="24">
        <v>45</v>
      </c>
      <c r="B58" s="24" t="str">
        <f>tblCities!C47</f>
        <v>Moscow</v>
      </c>
      <c r="C58" s="14">
        <f t="shared" si="20"/>
        <v>61.6</v>
      </c>
      <c r="D58" s="14">
        <f>RANK(C58,C$14:C$63)+COUNTIF(C$14:C58,C58)-1</f>
        <v>43</v>
      </c>
      <c r="E58" s="24">
        <f t="shared" si="21"/>
        <v>11</v>
      </c>
      <c r="F58" s="24">
        <f t="shared" si="22"/>
        <v>45</v>
      </c>
      <c r="G58" s="24">
        <f t="shared" si="23"/>
        <v>2</v>
      </c>
      <c r="H58" s="14">
        <f t="shared" si="24"/>
        <v>45</v>
      </c>
      <c r="I58" s="24" t="str">
        <f t="shared" si="25"/>
        <v>Mexico City</v>
      </c>
      <c r="J58" s="24">
        <f t="shared" si="26"/>
        <v>59.46</v>
      </c>
      <c r="K58" s="185" t="str">
        <f t="shared" si="27"/>
        <v>|||||||||||||||||||||||||||||</v>
      </c>
      <c r="L58" s="185">
        <f>INDEX(tblCities!$H$3:$L$52,A58,$B$4)</f>
        <v>1</v>
      </c>
      <c r="N58" s="14">
        <f t="shared" si="28"/>
        <v>51.54</v>
      </c>
      <c r="O58" s="14">
        <f>RANK(N58,N$14:N$63)+COUNTIF(N$14:N58,N58)-1</f>
        <v>46</v>
      </c>
      <c r="P58" s="24">
        <f t="shared" si="29"/>
        <v>33</v>
      </c>
      <c r="Q58" s="24">
        <f t="shared" si="30"/>
        <v>45</v>
      </c>
      <c r="R58" s="24">
        <f t="shared" si="31"/>
        <v>2</v>
      </c>
      <c r="S58" s="14">
        <f t="shared" si="32"/>
        <v>45</v>
      </c>
      <c r="T58" s="24" t="str">
        <f t="shared" si="33"/>
        <v>Bangkok</v>
      </c>
      <c r="U58" s="24">
        <f t="shared" si="34"/>
        <v>52.86</v>
      </c>
      <c r="V58" s="185" t="str">
        <f t="shared" si="35"/>
        <v>||||||||||||||||||||||||||</v>
      </c>
      <c r="X58" s="14">
        <f t="shared" si="36"/>
        <v>68.93</v>
      </c>
      <c r="Y58" s="14">
        <f>RANK(X58,X$14:X$63)+COUNTIF(X$14:X58,X58)-1</f>
        <v>24</v>
      </c>
      <c r="Z58" s="24">
        <f t="shared" si="37"/>
        <v>38</v>
      </c>
      <c r="AA58" s="24">
        <f t="shared" si="38"/>
        <v>45</v>
      </c>
      <c r="AB58" s="24">
        <f t="shared" si="39"/>
        <v>3</v>
      </c>
      <c r="AC58" s="14">
        <f t="shared" si="40"/>
        <v>45</v>
      </c>
      <c r="AD58" s="24" t="str">
        <f t="shared" si="41"/>
        <v>Abu Dhabi</v>
      </c>
      <c r="AE58" s="24">
        <f t="shared" si="42"/>
        <v>52.06</v>
      </c>
      <c r="AF58" s="185" t="str">
        <f t="shared" si="43"/>
        <v>||||||||||||||||||||||||||</v>
      </c>
      <c r="AH58" s="14">
        <f t="shared" si="44"/>
        <v>70.65</v>
      </c>
      <c r="AI58" s="14">
        <f>RANK(AH58,AH$14:AH$63)+COUNTIF(AH$14:AH58,AH58)-1</f>
        <v>41</v>
      </c>
      <c r="AJ58" s="24">
        <f t="shared" si="45"/>
        <v>2</v>
      </c>
      <c r="AK58" s="24">
        <f t="shared" si="46"/>
        <v>45</v>
      </c>
      <c r="AL58" s="24">
        <f t="shared" si="47"/>
        <v>2</v>
      </c>
      <c r="AM58" s="14">
        <f t="shared" si="48"/>
        <v>45</v>
      </c>
      <c r="AN58" s="24" t="str">
        <f t="shared" si="49"/>
        <v>Johannesburg</v>
      </c>
      <c r="AO58" s="24">
        <f t="shared" si="50"/>
        <v>60.67</v>
      </c>
      <c r="AP58" s="185" t="str">
        <f t="shared" si="51"/>
        <v>||||||||||||||||||||||||||||||</v>
      </c>
      <c r="AR58" s="14">
        <f t="shared" si="52"/>
        <v>55.27</v>
      </c>
      <c r="AS58" s="14">
        <f>RANK(AR58,AR$14:AR$63)+COUNTIF(AR$14:AR58,AR58)-1</f>
        <v>49</v>
      </c>
      <c r="AT58" s="24">
        <f t="shared" si="53"/>
        <v>26</v>
      </c>
      <c r="AU58" s="24">
        <f t="shared" si="54"/>
        <v>45</v>
      </c>
      <c r="AV58" s="24">
        <f t="shared" si="55"/>
        <v>2</v>
      </c>
      <c r="AW58" s="14">
        <f t="shared" si="56"/>
        <v>45</v>
      </c>
      <c r="AX58" s="24" t="str">
        <f t="shared" si="57"/>
        <v>Jakarta</v>
      </c>
      <c r="AY58" s="24">
        <f t="shared" si="58"/>
        <v>59.23</v>
      </c>
      <c r="AZ58" s="185" t="str">
        <f t="shared" si="59"/>
        <v>|||||||||||||||||||||||||||||</v>
      </c>
    </row>
    <row r="59" spans="1:52">
      <c r="A59" s="24">
        <v>46</v>
      </c>
      <c r="B59" s="24" t="str">
        <f>tblCities!C48</f>
        <v>Madrid</v>
      </c>
      <c r="C59" s="14">
        <f t="shared" si="20"/>
        <v>72.35</v>
      </c>
      <c r="D59" s="14">
        <f>RANK(C59,C$14:C$63)+COUNTIF(C$14:C59,C59)-1</f>
        <v>21</v>
      </c>
      <c r="E59" s="24">
        <f t="shared" si="21"/>
        <v>37</v>
      </c>
      <c r="F59" s="24">
        <f t="shared" si="22"/>
        <v>46</v>
      </c>
      <c r="G59" s="24">
        <f t="shared" si="23"/>
        <v>2</v>
      </c>
      <c r="H59" s="14">
        <f t="shared" si="24"/>
        <v>46</v>
      </c>
      <c r="I59" s="24" t="str">
        <f t="shared" si="25"/>
        <v>Riyadh</v>
      </c>
      <c r="J59" s="24">
        <f t="shared" si="26"/>
        <v>57.09</v>
      </c>
      <c r="K59" s="185" t="str">
        <f t="shared" si="27"/>
        <v>||||||||||||||||||||||||||||</v>
      </c>
      <c r="L59" s="185">
        <f>INDEX(tblCities!$H$3:$L$52,A59,$B$4)</f>
        <v>1</v>
      </c>
      <c r="N59" s="14">
        <f t="shared" si="28"/>
        <v>60.78</v>
      </c>
      <c r="O59" s="14">
        <f>RANK(N59,N$14:N$63)+COUNTIF(N$14:N59,N59)-1</f>
        <v>28</v>
      </c>
      <c r="P59" s="24">
        <f t="shared" si="29"/>
        <v>45</v>
      </c>
      <c r="Q59" s="24">
        <f t="shared" si="30"/>
        <v>46</v>
      </c>
      <c r="R59" s="24">
        <f t="shared" si="31"/>
        <v>2</v>
      </c>
      <c r="S59" s="14">
        <f t="shared" si="32"/>
        <v>46</v>
      </c>
      <c r="T59" s="24" t="str">
        <f t="shared" si="33"/>
        <v>Moscow</v>
      </c>
      <c r="U59" s="24">
        <f t="shared" si="34"/>
        <v>51.54</v>
      </c>
      <c r="V59" s="185" t="str">
        <f t="shared" si="35"/>
        <v>|||||||||||||||||||||||||</v>
      </c>
      <c r="X59" s="14">
        <f t="shared" si="36"/>
        <v>75.53</v>
      </c>
      <c r="Y59" s="14">
        <f>RANK(X59,X$14:X$63)+COUNTIF(X$14:X59,X59)-1</f>
        <v>11</v>
      </c>
      <c r="Z59" s="24">
        <f t="shared" si="37"/>
        <v>49</v>
      </c>
      <c r="AA59" s="24">
        <f t="shared" si="38"/>
        <v>46</v>
      </c>
      <c r="AB59" s="24">
        <f t="shared" si="39"/>
        <v>2</v>
      </c>
      <c r="AC59" s="14">
        <f t="shared" si="40"/>
        <v>46</v>
      </c>
      <c r="AD59" s="24" t="str">
        <f t="shared" si="41"/>
        <v>Istanbul</v>
      </c>
      <c r="AE59" s="24">
        <f t="shared" si="42"/>
        <v>50.77</v>
      </c>
      <c r="AF59" s="185" t="str">
        <f t="shared" si="43"/>
        <v>|||||||||||||||||||||||||</v>
      </c>
      <c r="AH59" s="14">
        <f t="shared" si="44"/>
        <v>87.28</v>
      </c>
      <c r="AI59" s="14">
        <f>RANK(AH59,AH$14:AH$63)+COUNTIF(AH$14:AH59,AH59)-1</f>
        <v>9</v>
      </c>
      <c r="AJ59" s="24">
        <f t="shared" si="45"/>
        <v>25</v>
      </c>
      <c r="AK59" s="24">
        <f t="shared" si="46"/>
        <v>46</v>
      </c>
      <c r="AL59" s="24">
        <f t="shared" si="47"/>
        <v>2</v>
      </c>
      <c r="AM59" s="14">
        <f t="shared" si="48"/>
        <v>46</v>
      </c>
      <c r="AN59" s="24" t="str">
        <f t="shared" si="49"/>
        <v>Delhi</v>
      </c>
      <c r="AO59" s="24">
        <f t="shared" si="50"/>
        <v>57.71</v>
      </c>
      <c r="AP59" s="185" t="str">
        <f t="shared" si="51"/>
        <v>||||||||||||||||||||||||||||</v>
      </c>
      <c r="AR59" s="14">
        <f t="shared" si="52"/>
        <v>65.81</v>
      </c>
      <c r="AS59" s="14">
        <f>RANK(AR59,AR$14:AR$63)+COUNTIF(AR$14:AR59,AR59)-1</f>
        <v>33</v>
      </c>
      <c r="AT59" s="24">
        <f t="shared" si="53"/>
        <v>4</v>
      </c>
      <c r="AU59" s="24">
        <f t="shared" si="54"/>
        <v>46</v>
      </c>
      <c r="AV59" s="24">
        <f t="shared" si="55"/>
        <v>2</v>
      </c>
      <c r="AW59" s="14">
        <f t="shared" si="56"/>
        <v>46</v>
      </c>
      <c r="AX59" s="24" t="str">
        <f t="shared" si="57"/>
        <v>Sao Paulo</v>
      </c>
      <c r="AY59" s="24">
        <f t="shared" si="58"/>
        <v>57.59</v>
      </c>
      <c r="AZ59" s="185" t="str">
        <f t="shared" si="59"/>
        <v>||||||||||||||||||||||||||||</v>
      </c>
    </row>
    <row r="60" spans="1:52">
      <c r="A60" s="24">
        <v>47</v>
      </c>
      <c r="B60" s="24" t="str">
        <f>tblCities!C49</f>
        <v>Barcelona</v>
      </c>
      <c r="C60" s="14">
        <f t="shared" si="20"/>
        <v>75.16</v>
      </c>
      <c r="D60" s="14">
        <f>RANK(C60,C$14:C$63)+COUNTIF(C$14:C60,C60)-1</f>
        <v>15</v>
      </c>
      <c r="E60" s="24">
        <f t="shared" si="21"/>
        <v>2</v>
      </c>
      <c r="F60" s="24">
        <f t="shared" si="22"/>
        <v>47</v>
      </c>
      <c r="G60" s="24">
        <f t="shared" si="23"/>
        <v>2</v>
      </c>
      <c r="H60" s="14">
        <f t="shared" si="24"/>
        <v>47</v>
      </c>
      <c r="I60" s="24" t="str">
        <f t="shared" si="25"/>
        <v>Johannesburg</v>
      </c>
      <c r="J60" s="24">
        <f t="shared" si="26"/>
        <v>56.26</v>
      </c>
      <c r="K60" s="185" t="str">
        <f t="shared" si="27"/>
        <v>||||||||||||||||||||||||||||</v>
      </c>
      <c r="L60" s="185">
        <f>INDEX(tblCities!$H$3:$L$52,A60,$B$4)</f>
        <v>1</v>
      </c>
      <c r="N60" s="14">
        <f t="shared" si="28"/>
        <v>60.29</v>
      </c>
      <c r="O60" s="14">
        <f>RANK(N60,N$14:N$63)+COUNTIF(N$14:N60,N60)-1</f>
        <v>29</v>
      </c>
      <c r="P60" s="24">
        <f t="shared" si="29"/>
        <v>31</v>
      </c>
      <c r="Q60" s="24">
        <f t="shared" si="30"/>
        <v>47</v>
      </c>
      <c r="R60" s="24">
        <f t="shared" si="31"/>
        <v>2</v>
      </c>
      <c r="S60" s="14">
        <f t="shared" si="32"/>
        <v>47</v>
      </c>
      <c r="T60" s="24" t="str">
        <f t="shared" si="33"/>
        <v>Seoul</v>
      </c>
      <c r="U60" s="24">
        <f t="shared" si="34"/>
        <v>51.46</v>
      </c>
      <c r="V60" s="185" t="str">
        <f t="shared" si="35"/>
        <v>|||||||||||||||||||||||||</v>
      </c>
      <c r="X60" s="14">
        <f t="shared" si="36"/>
        <v>76.35</v>
      </c>
      <c r="Y60" s="14">
        <f>RANK(X60,X$14:X$63)+COUNTIF(X$14:X60,X60)-1</f>
        <v>7</v>
      </c>
      <c r="Z60" s="24">
        <f t="shared" si="37"/>
        <v>2</v>
      </c>
      <c r="AA60" s="24">
        <f t="shared" si="38"/>
        <v>47</v>
      </c>
      <c r="AB60" s="24">
        <f t="shared" si="39"/>
        <v>2</v>
      </c>
      <c r="AC60" s="14">
        <f t="shared" si="40"/>
        <v>47</v>
      </c>
      <c r="AD60" s="24" t="str">
        <f t="shared" si="41"/>
        <v>Johannesburg</v>
      </c>
      <c r="AE60" s="24">
        <f t="shared" si="42"/>
        <v>50.17</v>
      </c>
      <c r="AF60" s="185" t="str">
        <f t="shared" si="43"/>
        <v>|||||||||||||||||||||||||</v>
      </c>
      <c r="AH60" s="14">
        <f t="shared" si="44"/>
        <v>85.65</v>
      </c>
      <c r="AI60" s="14">
        <f>RANK(AH60,AH$14:AH$63)+COUNTIF(AH$14:AH60,AH60)-1</f>
        <v>14</v>
      </c>
      <c r="AJ60" s="24">
        <f t="shared" si="45"/>
        <v>24</v>
      </c>
      <c r="AK60" s="24">
        <f t="shared" si="46"/>
        <v>47</v>
      </c>
      <c r="AL60" s="24">
        <f t="shared" si="47"/>
        <v>2</v>
      </c>
      <c r="AM60" s="14">
        <f t="shared" si="48"/>
        <v>47</v>
      </c>
      <c r="AN60" s="24" t="str">
        <f t="shared" si="49"/>
        <v>Mumbai</v>
      </c>
      <c r="AO60" s="24">
        <f t="shared" si="50"/>
        <v>55.89</v>
      </c>
      <c r="AP60" s="185" t="str">
        <f t="shared" si="51"/>
        <v>|||||||||||||||||||||||||||</v>
      </c>
      <c r="AR60" s="14">
        <f t="shared" si="52"/>
        <v>78.36</v>
      </c>
      <c r="AS60" s="14">
        <f>RANK(AR60,AR$14:AR$63)+COUNTIF(AR$14:AR60,AR60)-1</f>
        <v>11</v>
      </c>
      <c r="AT60" s="24">
        <f t="shared" si="53"/>
        <v>27</v>
      </c>
      <c r="AU60" s="24">
        <f t="shared" si="54"/>
        <v>47</v>
      </c>
      <c r="AV60" s="24">
        <f t="shared" si="55"/>
        <v>2</v>
      </c>
      <c r="AW60" s="14">
        <f t="shared" si="56"/>
        <v>47</v>
      </c>
      <c r="AX60" s="24" t="str">
        <f t="shared" si="57"/>
        <v>Tehran</v>
      </c>
      <c r="AY60" s="24">
        <f t="shared" si="58"/>
        <v>56.35</v>
      </c>
      <c r="AZ60" s="185" t="str">
        <f t="shared" si="59"/>
        <v>||||||||||||||||||||||||||||</v>
      </c>
    </row>
    <row r="61" spans="1:52">
      <c r="A61" s="24">
        <v>48</v>
      </c>
      <c r="B61" s="24" t="str">
        <f>tblCities!C50</f>
        <v>Zurich</v>
      </c>
      <c r="C61" s="14">
        <f t="shared" si="20"/>
        <v>78.84</v>
      </c>
      <c r="D61" s="14">
        <f>RANK(C61,C$14:C$63)+COUNTIF(C$14:C61,C61)-1</f>
        <v>7</v>
      </c>
      <c r="E61" s="24">
        <f t="shared" si="21"/>
        <v>34</v>
      </c>
      <c r="F61" s="24">
        <f t="shared" si="22"/>
        <v>48</v>
      </c>
      <c r="G61" s="24">
        <f t="shared" si="23"/>
        <v>2</v>
      </c>
      <c r="H61" s="14">
        <f t="shared" si="24"/>
        <v>48</v>
      </c>
      <c r="I61" s="24" t="str">
        <f t="shared" si="25"/>
        <v>Ho Chi Minh</v>
      </c>
      <c r="J61" s="24">
        <f t="shared" si="26"/>
        <v>54.93</v>
      </c>
      <c r="K61" s="185" t="str">
        <f t="shared" si="27"/>
        <v>|||||||||||||||||||||||||||</v>
      </c>
      <c r="L61" s="185">
        <f>INDEX(tblCities!$H$3:$L$52,A61,$B$4)</f>
        <v>1</v>
      </c>
      <c r="N61" s="14">
        <f t="shared" si="28"/>
        <v>67.04</v>
      </c>
      <c r="O61" s="14">
        <f>RANK(N61,N$14:N$63)+COUNTIF(N$14:N61,N61)-1</f>
        <v>19</v>
      </c>
      <c r="P61" s="24">
        <f t="shared" si="29"/>
        <v>26</v>
      </c>
      <c r="Q61" s="24">
        <f t="shared" si="30"/>
        <v>48</v>
      </c>
      <c r="R61" s="24">
        <f t="shared" si="31"/>
        <v>2</v>
      </c>
      <c r="S61" s="14">
        <f t="shared" si="32"/>
        <v>48</v>
      </c>
      <c r="T61" s="24" t="str">
        <f t="shared" si="33"/>
        <v>Jakarta</v>
      </c>
      <c r="U61" s="24">
        <f t="shared" si="34"/>
        <v>48.48</v>
      </c>
      <c r="V61" s="185" t="str">
        <f t="shared" si="35"/>
        <v>||||||||||||||||||||||||</v>
      </c>
      <c r="X61" s="14">
        <f t="shared" si="36"/>
        <v>79.05</v>
      </c>
      <c r="Y61" s="14">
        <f>RANK(X61,X$14:X$63)+COUNTIF(X$14:X61,X61)-1</f>
        <v>1</v>
      </c>
      <c r="Z61" s="24">
        <f t="shared" si="37"/>
        <v>34</v>
      </c>
      <c r="AA61" s="24">
        <f t="shared" si="38"/>
        <v>48</v>
      </c>
      <c r="AB61" s="24">
        <f t="shared" si="39"/>
        <v>2</v>
      </c>
      <c r="AC61" s="14">
        <f t="shared" si="40"/>
        <v>48</v>
      </c>
      <c r="AD61" s="24" t="str">
        <f t="shared" si="41"/>
        <v>Ho Chi Minh</v>
      </c>
      <c r="AE61" s="24">
        <f t="shared" si="42"/>
        <v>48.39</v>
      </c>
      <c r="AF61" s="185" t="str">
        <f t="shared" si="43"/>
        <v>||||||||||||||||||||||||</v>
      </c>
      <c r="AH61" s="14">
        <f t="shared" si="44"/>
        <v>92.63</v>
      </c>
      <c r="AI61" s="14">
        <f>RANK(AH61,AH$14:AH$63)+COUNTIF(AH$14:AH61,AH61)-1</f>
        <v>1</v>
      </c>
      <c r="AJ61" s="24">
        <f t="shared" si="45"/>
        <v>26</v>
      </c>
      <c r="AK61" s="24">
        <f t="shared" si="46"/>
        <v>48</v>
      </c>
      <c r="AL61" s="24">
        <f t="shared" si="47"/>
        <v>2</v>
      </c>
      <c r="AM61" s="14">
        <f t="shared" si="48"/>
        <v>48</v>
      </c>
      <c r="AN61" s="24" t="str">
        <f t="shared" si="49"/>
        <v>Jakarta</v>
      </c>
      <c r="AO61" s="24">
        <f t="shared" si="50"/>
        <v>54.02</v>
      </c>
      <c r="AP61" s="185" t="str">
        <f t="shared" si="51"/>
        <v>|||||||||||||||||||||||||||</v>
      </c>
      <c r="AR61" s="14">
        <f t="shared" si="52"/>
        <v>76.62</v>
      </c>
      <c r="AS61" s="14">
        <f>RANK(AR61,AR$14:AR$63)+COUNTIF(AR$14:AR61,AR61)-1</f>
        <v>13</v>
      </c>
      <c r="AT61" s="24">
        <f t="shared" si="53"/>
        <v>19</v>
      </c>
      <c r="AU61" s="24">
        <f t="shared" si="54"/>
        <v>48</v>
      </c>
      <c r="AV61" s="24">
        <f t="shared" si="55"/>
        <v>2</v>
      </c>
      <c r="AW61" s="14">
        <f t="shared" si="56"/>
        <v>48</v>
      </c>
      <c r="AX61" s="24" t="str">
        <f t="shared" si="57"/>
        <v>Beijing </v>
      </c>
      <c r="AY61" s="24">
        <f t="shared" si="58"/>
        <v>55.51</v>
      </c>
      <c r="AZ61" s="185" t="str">
        <f t="shared" si="59"/>
        <v>|||||||||||||||||||||||||||</v>
      </c>
    </row>
    <row r="62" spans="1:52">
      <c r="A62" s="24">
        <v>49</v>
      </c>
      <c r="B62" s="24" t="str">
        <f>tblCities!C51</f>
        <v>Istanbul</v>
      </c>
      <c r="C62" s="14">
        <f t="shared" si="20"/>
        <v>62.25</v>
      </c>
      <c r="D62" s="14">
        <f>RANK(C62,C$14:C$63)+COUNTIF(C$14:C62,C62)-1</f>
        <v>41</v>
      </c>
      <c r="E62" s="24">
        <f t="shared" si="21"/>
        <v>27</v>
      </c>
      <c r="F62" s="24">
        <f t="shared" si="22"/>
        <v>49</v>
      </c>
      <c r="G62" s="24">
        <f t="shared" si="23"/>
        <v>2</v>
      </c>
      <c r="H62" s="14">
        <f t="shared" si="24"/>
        <v>49</v>
      </c>
      <c r="I62" s="24" t="str">
        <f t="shared" si="25"/>
        <v>Tehran</v>
      </c>
      <c r="J62" s="24">
        <f t="shared" si="26"/>
        <v>53.78</v>
      </c>
      <c r="K62" s="185" t="str">
        <f t="shared" si="27"/>
        <v>||||||||||||||||||||||||||</v>
      </c>
      <c r="L62" s="185">
        <f>INDEX(tblCities!$H$3:$L$52,A62,$B$4)</f>
        <v>1</v>
      </c>
      <c r="N62" s="14">
        <f t="shared" si="28"/>
        <v>46.83</v>
      </c>
      <c r="O62" s="14">
        <f>RANK(N62,N$14:N$63)+COUNTIF(N$14:N62,N62)-1</f>
        <v>49</v>
      </c>
      <c r="P62" s="24">
        <f t="shared" si="29"/>
        <v>49</v>
      </c>
      <c r="Q62" s="24">
        <f t="shared" si="30"/>
        <v>49</v>
      </c>
      <c r="R62" s="24">
        <f t="shared" si="31"/>
        <v>2</v>
      </c>
      <c r="S62" s="14">
        <f t="shared" si="32"/>
        <v>49</v>
      </c>
      <c r="T62" s="24" t="str">
        <f t="shared" si="33"/>
        <v>Istanbul</v>
      </c>
      <c r="U62" s="24">
        <f t="shared" si="34"/>
        <v>46.83</v>
      </c>
      <c r="V62" s="185" t="str">
        <f t="shared" si="35"/>
        <v>|||||||||||||||||||||||</v>
      </c>
      <c r="X62" s="14">
        <f t="shared" si="36"/>
        <v>50.77</v>
      </c>
      <c r="Y62" s="14">
        <f>RANK(X62,X$14:X$63)+COUNTIF(X$14:X62,X62)-1</f>
        <v>46</v>
      </c>
      <c r="Z62" s="24">
        <f t="shared" si="37"/>
        <v>27</v>
      </c>
      <c r="AA62" s="24">
        <f t="shared" si="38"/>
        <v>49</v>
      </c>
      <c r="AB62" s="24">
        <f t="shared" si="39"/>
        <v>2</v>
      </c>
      <c r="AC62" s="14">
        <f t="shared" si="40"/>
        <v>49</v>
      </c>
      <c r="AD62" s="24" t="str">
        <f t="shared" si="41"/>
        <v>Tehran</v>
      </c>
      <c r="AE62" s="24">
        <f t="shared" si="42"/>
        <v>48.22</v>
      </c>
      <c r="AF62" s="185" t="str">
        <f t="shared" si="43"/>
        <v>||||||||||||||||||||||||</v>
      </c>
      <c r="AH62" s="14">
        <f t="shared" si="44"/>
        <v>77.71</v>
      </c>
      <c r="AI62" s="14">
        <f>RANK(AH62,AH$14:AH$63)+COUNTIF(AH$14:AH62,AH62)-1</f>
        <v>27</v>
      </c>
      <c r="AJ62" s="24">
        <f t="shared" si="45"/>
        <v>11</v>
      </c>
      <c r="AK62" s="24">
        <f t="shared" si="46"/>
        <v>49</v>
      </c>
      <c r="AL62" s="24">
        <f t="shared" si="47"/>
        <v>2</v>
      </c>
      <c r="AM62" s="14">
        <f t="shared" si="48"/>
        <v>49</v>
      </c>
      <c r="AN62" s="24" t="str">
        <f t="shared" si="49"/>
        <v>Mexico City</v>
      </c>
      <c r="AO62" s="24">
        <f t="shared" si="50"/>
        <v>52.93</v>
      </c>
      <c r="AP62" s="185" t="str">
        <f t="shared" si="51"/>
        <v>||||||||||||||||||||||||||</v>
      </c>
      <c r="AR62" s="14">
        <f t="shared" si="52"/>
        <v>73.7</v>
      </c>
      <c r="AS62" s="14">
        <f>RANK(AR62,AR$14:AR$63)+COUNTIF(AR$14:AR62,AR62)-1</f>
        <v>18</v>
      </c>
      <c r="AT62" s="24">
        <f t="shared" si="53"/>
        <v>45</v>
      </c>
      <c r="AU62" s="24">
        <f t="shared" si="54"/>
        <v>49</v>
      </c>
      <c r="AV62" s="24">
        <f t="shared" si="55"/>
        <v>2</v>
      </c>
      <c r="AW62" s="14">
        <f t="shared" si="56"/>
        <v>49</v>
      </c>
      <c r="AX62" s="24" t="str">
        <f t="shared" si="57"/>
        <v>Moscow</v>
      </c>
      <c r="AY62" s="24">
        <f t="shared" si="58"/>
        <v>55.27</v>
      </c>
      <c r="AZ62" s="185" t="str">
        <f t="shared" si="59"/>
        <v>|||||||||||||||||||||||||||</v>
      </c>
    </row>
    <row r="63" spans="1:52">
      <c r="A63" s="24">
        <v>50</v>
      </c>
      <c r="B63" s="24" t="str">
        <f>tblCities!C52</f>
        <v>London</v>
      </c>
      <c r="C63" s="14">
        <f t="shared" si="20"/>
        <v>73.83</v>
      </c>
      <c r="D63" s="14">
        <f>RANK(C63,C$14:C$63)+COUNTIF(C$14:C63,C63)-1</f>
        <v>18</v>
      </c>
      <c r="E63" s="24">
        <f t="shared" si="21"/>
        <v>26</v>
      </c>
      <c r="F63" s="24">
        <f t="shared" si="22"/>
        <v>50</v>
      </c>
      <c r="G63" s="24">
        <f t="shared" si="23"/>
        <v>2</v>
      </c>
      <c r="H63" s="14">
        <f t="shared" si="24"/>
        <v>50</v>
      </c>
      <c r="I63" s="24" t="str">
        <f t="shared" si="25"/>
        <v>Jakarta</v>
      </c>
      <c r="J63" s="24">
        <f t="shared" si="26"/>
        <v>53.71</v>
      </c>
      <c r="K63" s="185" t="str">
        <f t="shared" si="27"/>
        <v>||||||||||||||||||||||||||</v>
      </c>
      <c r="L63" s="185">
        <f>INDEX(tblCities!$H$3:$L$52,A63,$B$4)</f>
        <v>1</v>
      </c>
      <c r="N63" s="14">
        <f t="shared" si="28"/>
        <v>69.42</v>
      </c>
      <c r="O63" s="14">
        <f>RANK(N63,N$14:N$63)+COUNTIF(N$14:N63,N63)-1</f>
        <v>16</v>
      </c>
      <c r="P63" s="24">
        <f t="shared" si="29"/>
        <v>27</v>
      </c>
      <c r="Q63" s="24">
        <f t="shared" si="30"/>
        <v>50</v>
      </c>
      <c r="R63" s="24">
        <f t="shared" si="31"/>
        <v>2</v>
      </c>
      <c r="S63" s="14">
        <f t="shared" si="32"/>
        <v>50</v>
      </c>
      <c r="T63" s="24" t="str">
        <f t="shared" si="33"/>
        <v>Tehran</v>
      </c>
      <c r="U63" s="24">
        <f t="shared" si="34"/>
        <v>46.58</v>
      </c>
      <c r="V63" s="185" t="str">
        <f t="shared" si="35"/>
        <v>|||||||||||||||||||||||</v>
      </c>
      <c r="X63" s="14">
        <f t="shared" si="36"/>
        <v>69.78</v>
      </c>
      <c r="Y63" s="14">
        <f>RANK(X63,X$14:X$63)+COUNTIF(X$14:X63,X63)-1</f>
        <v>22</v>
      </c>
      <c r="Z63" s="24">
        <f t="shared" si="37"/>
        <v>24</v>
      </c>
      <c r="AA63" s="24">
        <f t="shared" si="38"/>
        <v>50</v>
      </c>
      <c r="AB63" s="24">
        <f t="shared" si="39"/>
        <v>2</v>
      </c>
      <c r="AC63" s="14">
        <f t="shared" si="40"/>
        <v>50</v>
      </c>
      <c r="AD63" s="24" t="str">
        <f t="shared" si="41"/>
        <v>Mumbai</v>
      </c>
      <c r="AE63" s="24">
        <f t="shared" si="42"/>
        <v>45.31</v>
      </c>
      <c r="AF63" s="185" t="str">
        <f t="shared" si="43"/>
        <v>||||||||||||||||||||||</v>
      </c>
      <c r="AH63" s="14">
        <f t="shared" si="44"/>
        <v>78.78</v>
      </c>
      <c r="AI63" s="14">
        <f>RANK(AH63,AH$14:AH$63)+COUNTIF(AH$14:AH63,AH63)-1</f>
        <v>25</v>
      </c>
      <c r="AJ63" s="24">
        <f t="shared" si="45"/>
        <v>34</v>
      </c>
      <c r="AK63" s="24">
        <f t="shared" si="46"/>
        <v>50</v>
      </c>
      <c r="AL63" s="24">
        <f t="shared" si="47"/>
        <v>2</v>
      </c>
      <c r="AM63" s="14">
        <f t="shared" si="48"/>
        <v>50</v>
      </c>
      <c r="AN63" s="24" t="str">
        <f t="shared" si="49"/>
        <v>Ho Chi Minh</v>
      </c>
      <c r="AO63" s="24">
        <f t="shared" si="50"/>
        <v>52.41</v>
      </c>
      <c r="AP63" s="185" t="str">
        <f t="shared" si="51"/>
        <v>||||||||||||||||||||||||||</v>
      </c>
      <c r="AR63" s="14">
        <f t="shared" si="52"/>
        <v>77.35</v>
      </c>
      <c r="AS63" s="14">
        <f>RANK(AR63,AR$14:AR$63)+COUNTIF(AR$14:AR63,AR63)-1</f>
        <v>12</v>
      </c>
      <c r="AT63" s="24">
        <f t="shared" si="53"/>
        <v>13</v>
      </c>
      <c r="AU63" s="24">
        <f t="shared" si="54"/>
        <v>50</v>
      </c>
      <c r="AV63" s="24">
        <f t="shared" si="55"/>
        <v>2</v>
      </c>
      <c r="AW63" s="14">
        <f t="shared" si="56"/>
        <v>50</v>
      </c>
      <c r="AX63" s="24" t="str">
        <f t="shared" si="57"/>
        <v>Santiago</v>
      </c>
      <c r="AY63" s="24">
        <f t="shared" si="58"/>
        <v>53.58</v>
      </c>
      <c r="AZ63" s="185" t="str">
        <f t="shared" si="59"/>
        <v>||||||||||||||||||||||||||</v>
      </c>
    </row>
  </sheetData>
  <sheetProtection selectLockedCells="1" selectUnlockedCells="1"/>
  <pageMargins left="0.7" right="0.7" top="0.75" bottom="0.75" header="0.3" footer="0.3"/>
  <pageSetup paperSize="1"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26</vt:i4>
      </vt:variant>
    </vt:vector>
  </HeadingPairs>
  <TitlesOfParts>
    <vt:vector size="26" baseType="lpstr">
      <vt:lpstr>uxbWorks</vt:lpstr>
      <vt:lpstr>tblIndicators</vt:lpstr>
      <vt:lpstr>tblIndiSets</vt:lpstr>
      <vt:lpstr>iWeights</vt:lpstr>
      <vt:lpstr>tblCities</vt:lpstr>
      <vt:lpstr>tblCategories</vt:lpstr>
      <vt:lpstr>iRankIndi</vt:lpstr>
      <vt:lpstr>iScoresRounded</vt:lpstr>
      <vt:lpstr>iSummary</vt:lpstr>
      <vt:lpstr>iCityP</vt:lpstr>
      <vt:lpstr>iSource</vt:lpstr>
      <vt:lpstr>iRank</vt:lpstr>
      <vt:lpstr>Enable_Macros</vt:lpstr>
      <vt:lpstr>iCompare</vt:lpstr>
      <vt:lpstr>iCityComp</vt:lpstr>
      <vt:lpstr>iScatter</vt:lpstr>
      <vt:lpstr>iCityP_Charts</vt:lpstr>
      <vt:lpstr>Home</vt:lpstr>
      <vt:lpstr>Summary</vt:lpstr>
      <vt:lpstr>Indicator_Ranks</vt:lpstr>
      <vt:lpstr>City_Profile</vt:lpstr>
      <vt:lpstr>City_Comparison</vt:lpstr>
      <vt:lpstr>Scatterplot</vt:lpstr>
      <vt:lpstr>Scores</vt:lpstr>
      <vt:lpstr>Data</vt:lpstr>
      <vt:lpstr>Weights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Mr</dc:title>
  <dc:creator>The Economist Intelligence Unit</dc:creator>
  <dc:description>On behalf of the EIU. Contact marcus@artoak.net with any questions.</dc:description>
  <cp:lastModifiedBy>qa</cp:lastModifiedBy>
  <dcterms:created xsi:type="dcterms:W3CDTF">2013-10-03T16:08:00Z</dcterms:created>
  <cp:lastPrinted>2015-01-15T19:57:00Z</cp:lastPrinted>
  <dcterms:modified xsi:type="dcterms:W3CDTF">2019-08-07T08:14:43Z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1033-11.2.0.8684</vt:lpwstr>
  </property>
</Properties>
</file>